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tabRatio="931" activeTab="0"/>
  </bookViews>
  <sheets>
    <sheet name="Title" sheetId="1" r:id="rId1"/>
    <sheet name="Instructions &amp; information" sheetId="2" r:id="rId2"/>
    <sheet name="1.Capital Investment" sheetId="3" r:id="rId3"/>
    <sheet name="2.Annual Expenses" sheetId="4" r:id="rId4"/>
    <sheet name="3.Benefits - Pasture Management" sheetId="5" r:id="rId5"/>
    <sheet name="4.Additional Benefits &amp; Costs" sheetId="6" r:id="rId6"/>
    <sheet name="5.Discounted Cash Flow" sheetId="7" r:id="rId7"/>
  </sheets>
  <definedNames>
    <definedName name="_Regression_Int">1</definedName>
  </definedNames>
  <calcPr fullCalcOnLoad="1"/>
</workbook>
</file>

<file path=xl/sharedStrings.xml><?xml version="1.0" encoding="utf-8"?>
<sst xmlns="http://schemas.openxmlformats.org/spreadsheetml/2006/main" count="201" uniqueCount="139">
  <si>
    <t>hectares</t>
  </si>
  <si>
    <t>Days pasture grazed per year</t>
  </si>
  <si>
    <t>Effective pasture area</t>
  </si>
  <si>
    <t>Number of grazing cells</t>
  </si>
  <si>
    <t>Size of grazed cell</t>
  </si>
  <si>
    <t>Irrigation costs</t>
  </si>
  <si>
    <t>Production</t>
  </si>
  <si>
    <t>Forage harvested by grazing animals</t>
  </si>
  <si>
    <t>Milk production per kg of dry matter</t>
  </si>
  <si>
    <t>kg</t>
  </si>
  <si>
    <t>litres</t>
  </si>
  <si>
    <t>Total milk production</t>
  </si>
  <si>
    <t>Milk price</t>
  </si>
  <si>
    <t>cents per litre</t>
  </si>
  <si>
    <t>Total revenue</t>
  </si>
  <si>
    <t>kg per ha @</t>
  </si>
  <si>
    <t>per tonne</t>
  </si>
  <si>
    <t>Lime (acidification)</t>
  </si>
  <si>
    <t>Total production costs</t>
  </si>
  <si>
    <t>per ha</t>
  </si>
  <si>
    <t>Nitrogen fertiliser</t>
  </si>
  <si>
    <t>Phosphorous fertiliser</t>
  </si>
  <si>
    <t>Potassium fertiliser</t>
  </si>
  <si>
    <t>ML per ha @</t>
  </si>
  <si>
    <t>per ML</t>
  </si>
  <si>
    <t>Pasture seed (rye grass)</t>
  </si>
  <si>
    <t>per kg</t>
  </si>
  <si>
    <t>Annual Gross Margin</t>
  </si>
  <si>
    <t/>
  </si>
  <si>
    <t>Incremental Gross Margin</t>
  </si>
  <si>
    <t>Capital Investments</t>
  </si>
  <si>
    <t>Length of fencing</t>
  </si>
  <si>
    <t>metres</t>
  </si>
  <si>
    <t>Cost per metre of fencing</t>
  </si>
  <si>
    <t>per metre</t>
  </si>
  <si>
    <t>Total cost</t>
  </si>
  <si>
    <t>Number of troughs</t>
  </si>
  <si>
    <t>Material costs (pipes, trough, materials)</t>
  </si>
  <si>
    <t>per trough</t>
  </si>
  <si>
    <t>Installation cost (labour)</t>
  </si>
  <si>
    <t>per year</t>
  </si>
  <si>
    <t>Total Investment</t>
  </si>
  <si>
    <t>Dairy Gross Margin - Without Offstream Watering</t>
  </si>
  <si>
    <t>Dairy Gross Margin - With Offstream Watering</t>
  </si>
  <si>
    <t>Estimated benefit per 100 cows</t>
  </si>
  <si>
    <t xml:space="preserve">Total number of cattle on-farm </t>
  </si>
  <si>
    <t>Benefit of nutrient recycling</t>
  </si>
  <si>
    <t>Annual Expenses</t>
  </si>
  <si>
    <t>Estimated annual mortality</t>
  </si>
  <si>
    <t>Dairy cow replacement cost</t>
  </si>
  <si>
    <t>Loss avoided by fencing stream</t>
  </si>
  <si>
    <t>Treatment expense (antibiotics, vet, time in shed)</t>
  </si>
  <si>
    <t>Discarded milk per cow</t>
  </si>
  <si>
    <t>days @</t>
  </si>
  <si>
    <t>Percent of herd as milkers/drys</t>
  </si>
  <si>
    <t>Milkers + drys</t>
  </si>
  <si>
    <t>Total treatment expenses</t>
  </si>
  <si>
    <t>Total litres lost</t>
  </si>
  <si>
    <t>Reduction in incidence of clinical mastitis</t>
  </si>
  <si>
    <t>Time saved per day in mustering cattle from stream area</t>
  </si>
  <si>
    <t xml:space="preserve">  minutes</t>
  </si>
  <si>
    <t xml:space="preserve">  cows</t>
  </si>
  <si>
    <t xml:space="preserve">  per cow</t>
  </si>
  <si>
    <t xml:space="preserve">  litres per day</t>
  </si>
  <si>
    <t>Total time saving per year</t>
  </si>
  <si>
    <t xml:space="preserve">  hours</t>
  </si>
  <si>
    <t>Estimated labour value</t>
  </si>
  <si>
    <t xml:space="preserve">  per hour</t>
  </si>
  <si>
    <t>Total saving</t>
  </si>
  <si>
    <t>Additional Benefits and Costs</t>
  </si>
  <si>
    <t>Estimated benefit of clean water close to grazing</t>
  </si>
  <si>
    <t xml:space="preserve">  litres per cow per day</t>
  </si>
  <si>
    <t>Total litres gained</t>
  </si>
  <si>
    <t>Days milked</t>
  </si>
  <si>
    <t>Total benefit</t>
  </si>
  <si>
    <t>Cost per cow from increased milk loss</t>
  </si>
  <si>
    <t>Discounted Cash Flow</t>
  </si>
  <si>
    <t>Discount Rate Used</t>
  </si>
  <si>
    <t>Year</t>
  </si>
  <si>
    <t>Labour</t>
  </si>
  <si>
    <t>Capital</t>
  </si>
  <si>
    <t>Annual Cash Flow</t>
  </si>
  <si>
    <t>Discounted Cumulative</t>
  </si>
  <si>
    <t>Present value</t>
  </si>
  <si>
    <t>Average per year ($)</t>
  </si>
  <si>
    <t xml:space="preserve"> </t>
  </si>
  <si>
    <t>Total NPV</t>
  </si>
  <si>
    <t>Equivalent Annual Return</t>
  </si>
  <si>
    <t>IRR</t>
  </si>
  <si>
    <t>Feed Manage</t>
  </si>
  <si>
    <t>Pasture Fertility</t>
  </si>
  <si>
    <t>River Mort</t>
  </si>
  <si>
    <t>Reduce Mastitis</t>
  </si>
  <si>
    <t>Reduce Muster</t>
  </si>
  <si>
    <t>Clean Water</t>
  </si>
  <si>
    <t>Heat</t>
  </si>
  <si>
    <t>Benefits</t>
  </si>
  <si>
    <t>Costs</t>
  </si>
  <si>
    <t>Area lost due to riparian restoration</t>
  </si>
  <si>
    <t xml:space="preserve">  hectares</t>
  </si>
  <si>
    <t xml:space="preserve">  AE per ha</t>
  </si>
  <si>
    <t>Carrying capacity lost</t>
  </si>
  <si>
    <t>AE cpacity lost</t>
  </si>
  <si>
    <t xml:space="preserve">  AE</t>
  </si>
  <si>
    <t>GM per AE per year</t>
  </si>
  <si>
    <t>Cost of lost grazing land</t>
  </si>
  <si>
    <t xml:space="preserve">  per ha</t>
  </si>
  <si>
    <t>Grazing Loss</t>
  </si>
  <si>
    <t>Trees</t>
  </si>
  <si>
    <t>Materials</t>
  </si>
  <si>
    <t>Total cost of riparian works</t>
  </si>
  <si>
    <t>Water trough repair and maintenance</t>
  </si>
  <si>
    <t>R and M</t>
  </si>
  <si>
    <t>Increase in pasture utilisation</t>
  </si>
  <si>
    <t>Pasture Management</t>
  </si>
  <si>
    <t>Model Summary</t>
  </si>
  <si>
    <t xml:space="preserve">Information input </t>
  </si>
  <si>
    <t xml:space="preserve">Yellow </t>
  </si>
  <si>
    <t xml:space="preserve"> = information input cells</t>
  </si>
  <si>
    <t xml:space="preserve">Red </t>
  </si>
  <si>
    <t>= results cells (n.b. these cells are locked to prevent changes being made to formulas)</t>
  </si>
  <si>
    <t>..</t>
  </si>
  <si>
    <t>Fencing-off watercourse</t>
  </si>
  <si>
    <t>Offstream watering points</t>
  </si>
  <si>
    <t>Additional grazing subdivision</t>
  </si>
  <si>
    <t xml:space="preserve">Cost of restoring riparian area </t>
  </si>
  <si>
    <t>Fence maintenance (materials and labour) &amp; weed control</t>
  </si>
  <si>
    <t>Ongoing maintenance</t>
  </si>
  <si>
    <t>Grazing parameters</t>
  </si>
  <si>
    <t>Related production costs</t>
  </si>
  <si>
    <t>Common farm parameters</t>
  </si>
  <si>
    <t>Nutrient Recycling - increased pasture productivity</t>
  </si>
  <si>
    <t>Mortality prevention - river hazards</t>
  </si>
  <si>
    <t>Incidence of clinical (or environmental) mastitis</t>
  </si>
  <si>
    <t>Reduced mastitis</t>
  </si>
  <si>
    <t>Mustering labour</t>
  </si>
  <si>
    <t>Clean water close to grazing</t>
  </si>
  <si>
    <t>Heat Load Management - reduced shade</t>
  </si>
  <si>
    <t>Foregone grazing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</si>
</sst>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&quot;$&quot;#,##0.00"/>
    <numFmt numFmtId="167" formatCode="&quot;$&quot;#,##0.000"/>
    <numFmt numFmtId="168" formatCode="&quot;$&quot;#,##0"/>
    <numFmt numFmtId="169" formatCode="&quot;$&quot;#,##0.0"/>
    <numFmt numFmtId="170" formatCode="&quot;$&quot;#,##0.00_);\(&quot;$&quot;#,##0.00\)"/>
    <numFmt numFmtId="171" formatCode="#,##0_ ;\-#,##0\ "/>
    <numFmt numFmtId="172" formatCode="#,##0_ ;[Red]\-#,##0\ 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;[Red]#,##0"/>
    <numFmt numFmtId="179" formatCode="&quot;$&quot;#,##0_);\(&quot;$&quot;#,##0\)"/>
    <numFmt numFmtId="180" formatCode="&quot;$&quot;#,##0.0000"/>
    <numFmt numFmtId="181" formatCode="&quot;$&quot;#,##0_);[Red]\(&quot;$&quot;#,##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0"/>
    <numFmt numFmtId="188" formatCode="&quot;$&quot;#,##0;[Red]&quot;$&quot;#,##0"/>
    <numFmt numFmtId="189" formatCode="#,##0.0000"/>
    <numFmt numFmtId="190" formatCode="#,##0.00000"/>
    <numFmt numFmtId="191" formatCode="mmmm\-yy"/>
    <numFmt numFmtId="192" formatCode="0.0%"/>
    <numFmt numFmtId="193" formatCode="0.000%"/>
    <numFmt numFmtId="194" formatCode="0.0000%"/>
    <numFmt numFmtId="195" formatCode="&quot;$&quot;#,##0.0;\-&quot;$&quot;#,##0.0"/>
    <numFmt numFmtId="196" formatCode="&quot;$&quot;#,##0.0;[Red]\-&quot;$&quot;#,##0.0"/>
    <numFmt numFmtId="197" formatCode="0.00000000"/>
    <numFmt numFmtId="198" formatCode="yy"/>
    <numFmt numFmtId="199" formatCode="#,##0.000000000000"/>
    <numFmt numFmtId="200" formatCode="#,##0.0000000000000"/>
    <numFmt numFmtId="201" formatCode="#,##0.00000000000000"/>
    <numFmt numFmtId="202" formatCode="#,##0.00000000000"/>
    <numFmt numFmtId="203" formatCode="#,##0.0000000000"/>
    <numFmt numFmtId="204" formatCode="#,##0.000000000"/>
    <numFmt numFmtId="205" formatCode="#,##0.00000000"/>
    <numFmt numFmtId="206" formatCode="#,##0.0000000"/>
    <numFmt numFmtId="207" formatCode="#,##0.000000"/>
    <numFmt numFmtId="208" formatCode="0.000000000"/>
    <numFmt numFmtId="209" formatCode="&quot;$&quot;#,##0.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0000"/>
    <numFmt numFmtId="215" formatCode="&quot;$&quot;#,##0.0000000"/>
  </numFmts>
  <fonts count="2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4"/>
      <color indexed="9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i/>
      <sz val="10"/>
      <name val="Trebuchet MS"/>
      <family val="2"/>
    </font>
    <font>
      <b/>
      <u val="single"/>
      <sz val="9"/>
      <name val="Trebuchet MS"/>
      <family val="2"/>
    </font>
    <font>
      <sz val="9"/>
      <name val="Trebuchet MS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9"/>
      <color indexed="8"/>
      <name val="Trebuchet MS"/>
      <family val="0"/>
    </font>
    <font>
      <i/>
      <sz val="10"/>
      <color indexed="8"/>
      <name val="Trebuchet MS"/>
      <family val="0"/>
    </font>
    <font>
      <sz val="48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3" fontId="5" fillId="3" borderId="1" xfId="0" applyNumberFormat="1" applyFont="1" applyFill="1" applyBorder="1" applyAlignment="1" applyProtection="1">
      <alignment horizontal="center"/>
      <protection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 locked="0"/>
    </xf>
    <xf numFmtId="168" fontId="5" fillId="3" borderId="1" xfId="0" applyNumberFormat="1" applyFont="1" applyFill="1" applyBorder="1" applyAlignment="1" applyProtection="1">
      <alignment horizontal="center"/>
      <protection/>
    </xf>
    <xf numFmtId="168" fontId="1" fillId="2" borderId="1" xfId="0" applyNumberFormat="1" applyFont="1" applyFill="1" applyBorder="1" applyAlignment="1" applyProtection="1">
      <alignment horizontal="center"/>
      <protection locked="0"/>
    </xf>
    <xf numFmtId="168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8" fillId="0" borderId="0" xfId="0" applyFont="1" applyAlignment="1">
      <alignment/>
    </xf>
    <xf numFmtId="168" fontId="7" fillId="4" borderId="1" xfId="0" applyNumberFormat="1" applyFont="1" applyFill="1" applyBorder="1" applyAlignment="1" applyProtection="1">
      <alignment horizontal="center"/>
      <protection/>
    </xf>
    <xf numFmtId="168" fontId="7" fillId="4" borderId="1" xfId="0" applyNumberFormat="1" applyFont="1" applyFill="1" applyBorder="1" applyAlignment="1">
      <alignment horizontal="center"/>
    </xf>
    <xf numFmtId="168" fontId="5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1" fontId="5" fillId="3" borderId="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1" fontId="5" fillId="0" borderId="0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0" fontId="10" fillId="2" borderId="2" xfId="0" applyNumberFormat="1" applyFont="1" applyFill="1" applyBorder="1" applyAlignment="1" applyProtection="1">
      <alignment horizontal="center"/>
      <protection hidden="1" locked="0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168" fontId="9" fillId="6" borderId="5" xfId="0" applyNumberFormat="1" applyFont="1" applyFill="1" applyBorder="1" applyAlignment="1" applyProtection="1">
      <alignment horizontal="center"/>
      <protection hidden="1"/>
    </xf>
    <xf numFmtId="168" fontId="9" fillId="6" borderId="4" xfId="0" applyNumberFormat="1" applyFont="1" applyFill="1" applyBorder="1" applyAlignment="1" applyProtection="1">
      <alignment horizontal="center"/>
      <protection hidden="1"/>
    </xf>
    <xf numFmtId="168" fontId="1" fillId="6" borderId="4" xfId="0" applyNumberFormat="1" applyFont="1" applyFill="1" applyBorder="1" applyAlignment="1" applyProtection="1">
      <alignment horizontal="center"/>
      <protection hidden="1"/>
    </xf>
    <xf numFmtId="168" fontId="9" fillId="6" borderId="6" xfId="0" applyNumberFormat="1" applyFont="1" applyFill="1" applyBorder="1" applyAlignment="1" applyProtection="1">
      <alignment horizontal="center"/>
      <protection hidden="1"/>
    </xf>
    <xf numFmtId="168" fontId="1" fillId="6" borderId="6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5" fontId="1" fillId="0" borderId="0" xfId="0" applyNumberFormat="1" applyFont="1" applyAlignment="1" applyProtection="1">
      <alignment horizontal="center"/>
      <protection hidden="1"/>
    </xf>
    <xf numFmtId="6" fontId="1" fillId="0" borderId="0" xfId="0" applyNumberFormat="1" applyFont="1" applyAlignment="1" applyProtection="1">
      <alignment horizontal="center"/>
      <protection hidden="1"/>
    </xf>
    <xf numFmtId="10" fontId="1" fillId="0" borderId="0" xfId="0" applyNumberFormat="1" applyFont="1" applyFill="1" applyBorder="1" applyAlignment="1" applyProtection="1">
      <alignment horizontal="center"/>
      <protection hidden="1"/>
    </xf>
    <xf numFmtId="10" fontId="10" fillId="0" borderId="0" xfId="0" applyNumberFormat="1" applyFont="1" applyFill="1" applyBorder="1" applyAlignment="1" applyProtection="1">
      <alignment horizontal="center"/>
      <protection hidden="1" locked="0"/>
    </xf>
    <xf numFmtId="168" fontId="1" fillId="6" borderId="5" xfId="0" applyNumberFormat="1" applyFont="1" applyFill="1" applyBorder="1" applyAlignment="1" applyProtection="1">
      <alignment horizontal="center"/>
      <protection hidden="1"/>
    </xf>
    <xf numFmtId="168" fontId="9" fillId="6" borderId="7" xfId="0" applyNumberFormat="1" applyFont="1" applyFill="1" applyBorder="1" applyAlignment="1" applyProtection="1">
      <alignment horizontal="center"/>
      <protection hidden="1"/>
    </xf>
    <xf numFmtId="168" fontId="9" fillId="6" borderId="8" xfId="0" applyNumberFormat="1" applyFont="1" applyFill="1" applyBorder="1" applyAlignment="1" applyProtection="1">
      <alignment horizontal="center"/>
      <protection hidden="1"/>
    </xf>
    <xf numFmtId="168" fontId="9" fillId="6" borderId="9" xfId="0" applyNumberFormat="1" applyFont="1" applyFill="1" applyBorder="1" applyAlignment="1" applyProtection="1">
      <alignment horizontal="center"/>
      <protection hidden="1"/>
    </xf>
    <xf numFmtId="168" fontId="9" fillId="0" borderId="4" xfId="0" applyNumberFormat="1" applyFont="1" applyFill="1" applyBorder="1" applyAlignment="1" applyProtection="1">
      <alignment horizontal="center"/>
      <protection hidden="1"/>
    </xf>
    <xf numFmtId="168" fontId="9" fillId="0" borderId="10" xfId="0" applyNumberFormat="1" applyFont="1" applyFill="1" applyBorder="1" applyAlignment="1" applyProtection="1">
      <alignment horizontal="center"/>
      <protection hidden="1"/>
    </xf>
    <xf numFmtId="168" fontId="9" fillId="0" borderId="5" xfId="0" applyNumberFormat="1" applyFont="1" applyFill="1" applyBorder="1" applyAlignment="1" applyProtection="1">
      <alignment horizontal="center"/>
      <protection hidden="1"/>
    </xf>
    <xf numFmtId="168" fontId="9" fillId="0" borderId="11" xfId="0" applyNumberFormat="1" applyFont="1" applyFill="1" applyBorder="1" applyAlignment="1" applyProtection="1">
      <alignment horizontal="center"/>
      <protection hidden="1"/>
    </xf>
    <xf numFmtId="5" fontId="11" fillId="0" borderId="0" xfId="0" applyNumberFormat="1" applyFont="1" applyFill="1" applyBorder="1" applyAlignment="1" applyProtection="1">
      <alignment horizontal="center"/>
      <protection hidden="1"/>
    </xf>
    <xf numFmtId="6" fontId="11" fillId="0" borderId="0" xfId="0" applyNumberFormat="1" applyFont="1" applyBorder="1" applyAlignment="1" applyProtection="1">
      <alignment horizontal="center"/>
      <protection hidden="1"/>
    </xf>
    <xf numFmtId="0" fontId="7" fillId="4" borderId="12" xfId="0" applyFont="1" applyFill="1" applyBorder="1" applyAlignment="1" applyProtection="1">
      <alignment/>
      <protection hidden="1"/>
    </xf>
    <xf numFmtId="0" fontId="12" fillId="4" borderId="13" xfId="0" applyFont="1" applyFill="1" applyBorder="1" applyAlignment="1" applyProtection="1">
      <alignment/>
      <protection hidden="1"/>
    </xf>
    <xf numFmtId="5" fontId="7" fillId="4" borderId="14" xfId="0" applyNumberFormat="1" applyFont="1" applyFill="1" applyBorder="1" applyAlignment="1" applyProtection="1">
      <alignment horizontal="center"/>
      <protection hidden="1"/>
    </xf>
    <xf numFmtId="0" fontId="7" fillId="4" borderId="15" xfId="0" applyFont="1" applyFill="1" applyBorder="1" applyAlignment="1" applyProtection="1">
      <alignment/>
      <protection hidden="1"/>
    </xf>
    <xf numFmtId="0" fontId="12" fillId="4" borderId="0" xfId="0" applyFont="1" applyFill="1" applyBorder="1" applyAlignment="1" applyProtection="1">
      <alignment/>
      <protection hidden="1"/>
    </xf>
    <xf numFmtId="6" fontId="7" fillId="4" borderId="16" xfId="0" applyNumberFormat="1" applyFont="1" applyFill="1" applyBorder="1" applyAlignment="1" applyProtection="1">
      <alignment horizontal="center"/>
      <protection hidden="1"/>
    </xf>
    <xf numFmtId="0" fontId="7" fillId="4" borderId="17" xfId="0" applyFont="1" applyFill="1" applyBorder="1" applyAlignment="1" applyProtection="1">
      <alignment/>
      <protection hidden="1"/>
    </xf>
    <xf numFmtId="0" fontId="12" fillId="4" borderId="18" xfId="0" applyFont="1" applyFill="1" applyBorder="1" applyAlignment="1" applyProtection="1">
      <alignment/>
      <protection hidden="1"/>
    </xf>
    <xf numFmtId="10" fontId="7" fillId="4" borderId="19" xfId="0" applyNumberFormat="1" applyFont="1" applyFill="1" applyBorder="1" applyAlignment="1" applyProtection="1">
      <alignment horizontal="center"/>
      <protection hidden="1"/>
    </xf>
    <xf numFmtId="3" fontId="5" fillId="4" borderId="20" xfId="0" applyNumberFormat="1" applyFont="1" applyFill="1" applyBorder="1" applyAlignment="1" applyProtection="1">
      <alignment horizontal="centerContinuous"/>
      <protection hidden="1"/>
    </xf>
    <xf numFmtId="0" fontId="11" fillId="4" borderId="21" xfId="0" applyFont="1" applyFill="1" applyBorder="1" applyAlignment="1" applyProtection="1">
      <alignment horizontal="centerContinuous"/>
      <protection hidden="1"/>
    </xf>
    <xf numFmtId="0" fontId="11" fillId="4" borderId="22" xfId="0" applyFont="1" applyFill="1" applyBorder="1" applyAlignment="1" applyProtection="1">
      <alignment horizontal="centerContinuous"/>
      <protection hidden="1"/>
    </xf>
    <xf numFmtId="0" fontId="5" fillId="3" borderId="20" xfId="0" applyFont="1" applyFill="1" applyBorder="1" applyAlignment="1" applyProtection="1">
      <alignment horizontal="centerContinuous"/>
      <protection hidden="1"/>
    </xf>
    <xf numFmtId="0" fontId="11" fillId="3" borderId="21" xfId="0" applyFont="1" applyFill="1" applyBorder="1" applyAlignment="1" applyProtection="1">
      <alignment horizontal="centerContinuous"/>
      <protection hidden="1"/>
    </xf>
    <xf numFmtId="0" fontId="5" fillId="3" borderId="21" xfId="0" applyFont="1" applyFill="1" applyBorder="1" applyAlignment="1" applyProtection="1">
      <alignment horizontal="centerContinuous"/>
      <protection hidden="1"/>
    </xf>
    <xf numFmtId="0" fontId="11" fillId="3" borderId="22" xfId="0" applyFont="1" applyFill="1" applyBorder="1" applyAlignment="1" applyProtection="1">
      <alignment horizontal="centerContinuous"/>
      <protection hidden="1"/>
    </xf>
    <xf numFmtId="168" fontId="1" fillId="5" borderId="2" xfId="0" applyNumberFormat="1" applyFont="1" applyFill="1" applyBorder="1" applyAlignment="1" applyProtection="1">
      <alignment horizontal="center"/>
      <protection hidden="1"/>
    </xf>
    <xf numFmtId="5" fontId="1" fillId="5" borderId="2" xfId="0" applyNumberFormat="1" applyFont="1" applyFill="1" applyBorder="1" applyAlignment="1" applyProtection="1">
      <alignment horizontal="center"/>
      <protection hidden="1"/>
    </xf>
    <xf numFmtId="6" fontId="1" fillId="5" borderId="2" xfId="0" applyNumberFormat="1" applyFont="1" applyFill="1" applyBorder="1" applyAlignment="1" applyProtection="1">
      <alignment horizontal="center"/>
      <protection hidden="1"/>
    </xf>
    <xf numFmtId="168" fontId="5" fillId="3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/>
    </xf>
    <xf numFmtId="0" fontId="13" fillId="6" borderId="0" xfId="0" applyFont="1" applyFill="1" applyAlignment="1">
      <alignment/>
    </xf>
    <xf numFmtId="0" fontId="0" fillId="6" borderId="0" xfId="0" applyFill="1" applyAlignment="1">
      <alignment/>
    </xf>
    <xf numFmtId="0" fontId="17" fillId="6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49" fontId="13" fillId="6" borderId="0" xfId="0" applyNumberFormat="1" applyFont="1" applyFill="1" applyAlignment="1">
      <alignment/>
    </xf>
    <xf numFmtId="0" fontId="13" fillId="6" borderId="0" xfId="0" applyFont="1" applyFill="1" applyAlignment="1">
      <alignment horizontal="left" wrapText="1"/>
    </xf>
    <xf numFmtId="0" fontId="0" fillId="6" borderId="0" xfId="0" applyFont="1" applyFill="1" applyAlignment="1">
      <alignment/>
    </xf>
    <xf numFmtId="0" fontId="19" fillId="6" borderId="0" xfId="0" applyFont="1" applyFill="1" applyAlignment="1">
      <alignment/>
    </xf>
    <xf numFmtId="0" fontId="20" fillId="6" borderId="0" xfId="0" applyFont="1" applyFill="1" applyAlignment="1">
      <alignment horizontal="left" wrapText="1"/>
    </xf>
    <xf numFmtId="0" fontId="17" fillId="6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625"/>
          <c:w val="0.91775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'5.Discounted Cash Flow'!$A$7:$A$17</c:f>
              <c:numCache/>
            </c:numRef>
          </c:cat>
          <c:val>
            <c:numRef>
              <c:f>'5.Discounted Cash Flow'!$O$7:$O$17</c:f>
              <c:numCache/>
            </c:numRef>
          </c:val>
          <c:smooth val="1"/>
        </c:ser>
        <c:marker val="1"/>
        <c:axId val="9901332"/>
        <c:axId val="22003125"/>
      </c:lineChart>
      <c:cat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01332"/>
        <c:crossesAt val="1"/>
        <c:crossBetween val="between"/>
        <c:dispUnits/>
      </c:valAx>
      <c:spPr>
        <a:solidFill>
          <a:srgbClr val="CCFFCC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15</xdr:col>
      <xdr:colOff>495300</xdr:colOff>
      <xdr:row>30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6675" y="57150"/>
          <a:ext cx="9572625" cy="494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/>
            <a:t>Managing riparian areas on dairy farms.
Economic assessment tool for decision support.</a:t>
          </a:r>
        </a:p>
      </xdr:txBody>
    </xdr:sp>
    <xdr:clientData/>
  </xdr:twoCellAnchor>
  <xdr:twoCellAnchor>
    <xdr:from>
      <xdr:col>0</xdr:col>
      <xdr:colOff>142875</xdr:colOff>
      <xdr:row>25</xdr:row>
      <xdr:rowOff>28575</xdr:rowOff>
    </xdr:from>
    <xdr:to>
      <xdr:col>3</xdr:col>
      <xdr:colOff>400050</xdr:colOff>
      <xdr:row>30</xdr:row>
      <xdr:rowOff>95250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076700"/>
          <a:ext cx="2085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561975</xdr:colOff>
      <xdr:row>26</xdr:row>
      <xdr:rowOff>57150</xdr:rowOff>
    </xdr:from>
    <xdr:to>
      <xdr:col>9</xdr:col>
      <xdr:colOff>200025</xdr:colOff>
      <xdr:row>30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4267200"/>
          <a:ext cx="2686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26</xdr:row>
      <xdr:rowOff>57150</xdr:rowOff>
    </xdr:from>
    <xdr:to>
      <xdr:col>15</xdr:col>
      <xdr:colOff>466725</xdr:colOff>
      <xdr:row>30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4267200"/>
          <a:ext cx="2781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14</xdr:row>
      <xdr:rowOff>142875</xdr:rowOff>
    </xdr:from>
    <xdr:to>
      <xdr:col>15</xdr:col>
      <xdr:colOff>133350</xdr:colOff>
      <xdr:row>26</xdr:row>
      <xdr:rowOff>95250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2409825"/>
          <a:ext cx="1895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</xdr:row>
      <xdr:rowOff>123825</xdr:rowOff>
    </xdr:from>
    <xdr:to>
      <xdr:col>5</xdr:col>
      <xdr:colOff>161925</xdr:colOff>
      <xdr:row>21</xdr:row>
      <xdr:rowOff>352425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3219450"/>
          <a:ext cx="31813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Trebuchet MS"/>
              <a:ea typeface="Trebuchet MS"/>
              <a:cs typeface="Trebuchet MS"/>
            </a:rPr>
            <a:t>Acknowledgements
</a:t>
          </a:r>
          <a:r>
            <a:rPr lang="en-US" cap="none" sz="900" b="0" i="0" u="none" baseline="0">
              <a:latin typeface="Trebuchet MS"/>
              <a:ea typeface="Trebuchet MS"/>
              <a:cs typeface="Trebuchet MS"/>
            </a:rPr>
            <a:t>Bill Johnston - DPI&amp;F Principal Agricultural Economist 
Peter &amp; Elke Watson - Dairy farmers (Conondale Qld)
Bronwyn Ford - Qld Dairy Organisation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7</xdr:row>
      <xdr:rowOff>114300</xdr:rowOff>
    </xdr:from>
    <xdr:to>
      <xdr:col>6</xdr:col>
      <xdr:colOff>485775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105650" y="1438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40</xdr:row>
      <xdr:rowOff>104775</xdr:rowOff>
    </xdr:from>
    <xdr:to>
      <xdr:col>5</xdr:col>
      <xdr:colOff>914400</xdr:colOff>
      <xdr:row>40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610225" y="64103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85</xdr:row>
      <xdr:rowOff>104775</xdr:rowOff>
    </xdr:from>
    <xdr:to>
      <xdr:col>5</xdr:col>
      <xdr:colOff>914400</xdr:colOff>
      <xdr:row>85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610225" y="133635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89</xdr:row>
      <xdr:rowOff>123825</xdr:rowOff>
    </xdr:from>
    <xdr:to>
      <xdr:col>5</xdr:col>
      <xdr:colOff>914400</xdr:colOff>
      <xdr:row>89</xdr:row>
      <xdr:rowOff>123825</xdr:rowOff>
    </xdr:to>
    <xdr:sp>
      <xdr:nvSpPr>
        <xdr:cNvPr id="3" name="Line 4"/>
        <xdr:cNvSpPr>
          <a:spLocks/>
        </xdr:cNvSpPr>
      </xdr:nvSpPr>
      <xdr:spPr>
        <a:xfrm>
          <a:off x="5610225" y="14135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27</xdr:row>
      <xdr:rowOff>104775</xdr:rowOff>
    </xdr:from>
    <xdr:to>
      <xdr:col>4</xdr:col>
      <xdr:colOff>857250</xdr:colOff>
      <xdr:row>27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191250" y="47910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37</xdr:row>
      <xdr:rowOff>104775</xdr:rowOff>
    </xdr:from>
    <xdr:to>
      <xdr:col>4</xdr:col>
      <xdr:colOff>857250</xdr:colOff>
      <xdr:row>37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191250" y="62579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20</xdr:row>
      <xdr:rowOff>0</xdr:rowOff>
    </xdr:from>
    <xdr:to>
      <xdr:col>11</xdr:col>
      <xdr:colOff>9525</xdr:colOff>
      <xdr:row>41</xdr:row>
      <xdr:rowOff>57150</xdr:rowOff>
    </xdr:to>
    <xdr:graphicFrame>
      <xdr:nvGraphicFramePr>
        <xdr:cNvPr id="1" name="Chart 5"/>
        <xdr:cNvGraphicFramePr/>
      </xdr:nvGraphicFramePr>
      <xdr:xfrm>
        <a:off x="4543425" y="4267200"/>
        <a:ext cx="8315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="75" zoomScaleNormal="75" workbookViewId="0" topLeftCell="A1">
      <selection activeCell="I16" sqref="I16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C5" sqref="C5"/>
    </sheetView>
  </sheetViews>
  <sheetFormatPr defaultColWidth="9.140625" defaultRowHeight="12.75"/>
  <cols>
    <col min="1" max="1" width="11.57421875" style="86" customWidth="1"/>
    <col min="2" max="16384" width="9.140625" style="86" customWidth="1"/>
  </cols>
  <sheetData>
    <row r="1" ht="12.75">
      <c r="A1" s="85" t="s">
        <v>115</v>
      </c>
    </row>
    <row r="2" spans="1:14" ht="36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ht="12.75"/>
    <row r="5" ht="12.75">
      <c r="A5" s="85" t="s">
        <v>116</v>
      </c>
    </row>
    <row r="6" ht="12.75">
      <c r="A6" s="85"/>
    </row>
    <row r="7" spans="1:2" ht="12.75">
      <c r="A7" s="88" t="s">
        <v>117</v>
      </c>
      <c r="B7" s="85" t="s">
        <v>118</v>
      </c>
    </row>
    <row r="9" spans="1:2" ht="12.75">
      <c r="A9" s="89" t="s">
        <v>119</v>
      </c>
      <c r="B9" s="90" t="s">
        <v>120</v>
      </c>
    </row>
    <row r="11" ht="12.75">
      <c r="A11" s="85"/>
    </row>
    <row r="12" ht="22.5" customHeight="1">
      <c r="A12" s="85"/>
    </row>
    <row r="13" ht="14.25" customHeight="1">
      <c r="A13" s="85"/>
    </row>
    <row r="14" ht="13.5" customHeight="1">
      <c r="A14" s="85"/>
    </row>
    <row r="15" spans="1:12" ht="16.5" customHeight="1">
      <c r="A15" s="91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20" ht="12" customHeight="1"/>
    <row r="21" ht="12.75" hidden="1"/>
    <row r="22" spans="1:12" ht="42" customHeight="1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5" ht="12.75">
      <c r="A25" s="85"/>
    </row>
  </sheetData>
  <sheetProtection selectLockedCells="1" selectUnlockedCells="1"/>
  <mergeCells count="1">
    <mergeCell ref="A22:L22"/>
  </mergeCells>
  <printOptions/>
  <pageMargins left="0.75" right="0.75" top="1" bottom="1" header="0.5" footer="0.5"/>
  <pageSetup fitToHeight="1" fitToWidth="1" horizontalDpi="300" verticalDpi="300" orientation="landscape" paperSize="8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zoomScale="75" zoomScaleNormal="75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52.7109375" style="1" customWidth="1"/>
    <col min="3" max="3" width="13.8515625" style="1" customWidth="1"/>
    <col min="4" max="4" width="2.421875" style="1" customWidth="1"/>
    <col min="5" max="16384" width="9.140625" style="1" customWidth="1"/>
  </cols>
  <sheetData>
    <row r="1" ht="26.25">
      <c r="A1" s="2" t="s">
        <v>30</v>
      </c>
    </row>
    <row r="4" ht="18">
      <c r="A4" s="3" t="s">
        <v>122</v>
      </c>
    </row>
    <row r="5" ht="6" customHeight="1"/>
    <row r="6" spans="2:5" ht="15.75">
      <c r="B6" s="1" t="s">
        <v>31</v>
      </c>
      <c r="C6" s="12">
        <v>1800</v>
      </c>
      <c r="E6" s="1" t="s">
        <v>32</v>
      </c>
    </row>
    <row r="7" ht="6" customHeight="1"/>
    <row r="8" spans="2:5" ht="15.75">
      <c r="B8" s="1" t="s">
        <v>33</v>
      </c>
      <c r="C8" s="16">
        <v>1.3</v>
      </c>
      <c r="E8" s="1" t="s">
        <v>34</v>
      </c>
    </row>
    <row r="9" ht="6" customHeight="1"/>
    <row r="10" spans="2:3" ht="15.75">
      <c r="B10" s="1" t="s">
        <v>35</v>
      </c>
      <c r="C10" s="18">
        <f>C6*C8</f>
        <v>2340</v>
      </c>
    </row>
    <row r="12" ht="18">
      <c r="A12" s="3" t="s">
        <v>123</v>
      </c>
    </row>
    <row r="13" ht="6" customHeight="1"/>
    <row r="14" spans="2:3" ht="15.75">
      <c r="B14" s="1" t="s">
        <v>36</v>
      </c>
      <c r="C14" s="12">
        <v>15</v>
      </c>
    </row>
    <row r="15" ht="6" customHeight="1"/>
    <row r="16" spans="2:5" ht="15.75">
      <c r="B16" s="1" t="s">
        <v>37</v>
      </c>
      <c r="C16" s="19">
        <v>3500</v>
      </c>
      <c r="E16" s="1" t="s">
        <v>38</v>
      </c>
    </row>
    <row r="17" ht="6" customHeight="1">
      <c r="C17" s="20"/>
    </row>
    <row r="18" spans="2:5" ht="15.75">
      <c r="B18" s="1" t="s">
        <v>39</v>
      </c>
      <c r="C18" s="19">
        <v>500</v>
      </c>
      <c r="E18" s="1" t="s">
        <v>38</v>
      </c>
    </row>
    <row r="19" ht="6" customHeight="1"/>
    <row r="20" spans="2:3" ht="15.75">
      <c r="B20" s="1" t="s">
        <v>35</v>
      </c>
      <c r="C20" s="18">
        <f>(C16+C18)*C14</f>
        <v>60000</v>
      </c>
    </row>
    <row r="22" ht="18">
      <c r="A22" s="3" t="s">
        <v>124</v>
      </c>
    </row>
    <row r="23" ht="6" customHeight="1"/>
    <row r="24" spans="2:5" ht="15.75">
      <c r="B24" s="1" t="s">
        <v>31</v>
      </c>
      <c r="C24" s="12">
        <v>9000</v>
      </c>
      <c r="E24" s="1" t="s">
        <v>32</v>
      </c>
    </row>
    <row r="25" ht="6" customHeight="1"/>
    <row r="26" spans="2:5" ht="15.75">
      <c r="B26" s="1" t="s">
        <v>33</v>
      </c>
      <c r="C26" s="16">
        <v>1.3</v>
      </c>
      <c r="E26" s="1" t="s">
        <v>34</v>
      </c>
    </row>
    <row r="27" ht="6" customHeight="1"/>
    <row r="28" spans="2:3" ht="15.75">
      <c r="B28" s="1" t="s">
        <v>35</v>
      </c>
      <c r="C28" s="18">
        <f>C24*C26</f>
        <v>11700</v>
      </c>
    </row>
    <row r="30" ht="18">
      <c r="A30" s="3" t="s">
        <v>125</v>
      </c>
    </row>
    <row r="32" spans="2:3" ht="15.75">
      <c r="B32" s="1" t="s">
        <v>108</v>
      </c>
      <c r="C32" s="19">
        <v>5000</v>
      </c>
    </row>
    <row r="33" ht="6" customHeight="1">
      <c r="C33" s="34"/>
    </row>
    <row r="34" spans="2:3" ht="15.75">
      <c r="B34" s="1" t="s">
        <v>79</v>
      </c>
      <c r="C34" s="19">
        <v>1500</v>
      </c>
    </row>
    <row r="35" ht="6" customHeight="1">
      <c r="C35" s="34"/>
    </row>
    <row r="36" spans="2:3" ht="15.75">
      <c r="B36" s="1" t="s">
        <v>109</v>
      </c>
      <c r="C36" s="19">
        <v>2000</v>
      </c>
    </row>
    <row r="37" ht="6" customHeight="1"/>
    <row r="38" spans="2:3" ht="15.75">
      <c r="B38" s="1" t="s">
        <v>110</v>
      </c>
      <c r="C38" s="18">
        <f>SUM(C32:C37)</f>
        <v>8500</v>
      </c>
    </row>
    <row r="40" spans="1:3" ht="18">
      <c r="A40" s="3" t="s">
        <v>41</v>
      </c>
      <c r="C40" s="24">
        <f>C10+C20+C28+C38</f>
        <v>82540</v>
      </c>
    </row>
  </sheetData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="75" zoomScaleNormal="75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66.8515625" style="1" customWidth="1"/>
    <col min="3" max="3" width="13.00390625" style="1" customWidth="1"/>
    <col min="4" max="4" width="2.140625" style="1" customWidth="1"/>
    <col min="5" max="7" width="9.140625" style="1" customWidth="1"/>
    <col min="8" max="8" width="13.8515625" style="1" customWidth="1"/>
    <col min="9" max="16384" width="9.140625" style="1" customWidth="1"/>
  </cols>
  <sheetData>
    <row r="1" ht="26.25">
      <c r="A1" s="2" t="s">
        <v>47</v>
      </c>
    </row>
    <row r="4" ht="18">
      <c r="A4" s="3" t="s">
        <v>127</v>
      </c>
    </row>
    <row r="6" spans="2:5" ht="15.75">
      <c r="B6" s="1" t="s">
        <v>126</v>
      </c>
      <c r="C6" s="19">
        <v>200</v>
      </c>
      <c r="E6" s="1" t="s">
        <v>40</v>
      </c>
    </row>
    <row r="7" ht="6" customHeight="1"/>
    <row r="8" spans="2:8" ht="15.75">
      <c r="B8" s="1" t="s">
        <v>111</v>
      </c>
      <c r="C8" s="19">
        <v>100</v>
      </c>
      <c r="E8" s="1" t="s">
        <v>38</v>
      </c>
      <c r="H8" s="83">
        <f>C8*'1.Capital Investment'!C14</f>
        <v>1500</v>
      </c>
    </row>
    <row r="10" ht="15.75">
      <c r="C10" s="84"/>
    </row>
  </sheetData>
  <printOptions/>
  <pageMargins left="0.75" right="0.75" top="1" bottom="1" header="0.5" footer="0.5"/>
  <pageSetup fitToHeight="1" fitToWidth="1" horizontalDpi="300" verticalDpi="3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zoomScale="75" zoomScaleNormal="75" workbookViewId="0" topLeftCell="C1">
      <selection activeCell="D7" sqref="D7"/>
    </sheetView>
  </sheetViews>
  <sheetFormatPr defaultColWidth="9.140625" defaultRowHeight="12.75"/>
  <cols>
    <col min="1" max="1" width="9.140625" style="1" customWidth="1"/>
    <col min="2" max="2" width="50.140625" style="1" customWidth="1"/>
    <col min="3" max="3" width="9.140625" style="1" customWidth="1"/>
    <col min="4" max="4" width="13.57421875" style="1" customWidth="1"/>
    <col min="5" max="5" width="2.421875" style="1" customWidth="1"/>
    <col min="6" max="6" width="16.57421875" style="1" bestFit="1" customWidth="1"/>
    <col min="7" max="7" width="13.57421875" style="1" customWidth="1"/>
    <col min="8" max="8" width="2.421875" style="1" customWidth="1"/>
    <col min="9" max="9" width="14.57421875" style="1" bestFit="1" customWidth="1"/>
    <col min="10" max="10" width="13.57421875" style="1" customWidth="1"/>
    <col min="11" max="11" width="1.8515625" style="1" customWidth="1"/>
    <col min="12" max="16384" width="9.140625" style="1" customWidth="1"/>
  </cols>
  <sheetData>
    <row r="1" ht="26.25">
      <c r="A1" s="2" t="s">
        <v>114</v>
      </c>
    </row>
    <row r="2" ht="16.5" customHeight="1"/>
    <row r="3" ht="20.25">
      <c r="A3" s="22" t="s">
        <v>42</v>
      </c>
    </row>
    <row r="4" ht="15.75">
      <c r="A4" s="21" t="s">
        <v>28</v>
      </c>
    </row>
    <row r="5" spans="1:8" ht="18">
      <c r="A5" s="3" t="s">
        <v>128</v>
      </c>
      <c r="D5" s="7"/>
      <c r="F5" s="8"/>
      <c r="G5" s="9"/>
      <c r="H5" s="9"/>
    </row>
    <row r="6" spans="6:8" ht="6" customHeight="1">
      <c r="F6" s="9"/>
      <c r="G6" s="9"/>
      <c r="H6" s="9"/>
    </row>
    <row r="7" spans="2:8" ht="15.75">
      <c r="B7" s="1" t="s">
        <v>2</v>
      </c>
      <c r="D7" s="4">
        <v>75</v>
      </c>
      <c r="F7" s="11" t="s">
        <v>0</v>
      </c>
      <c r="G7" s="9"/>
      <c r="H7" s="9"/>
    </row>
    <row r="8" spans="6:8" ht="6" customHeight="1">
      <c r="F8" s="9"/>
      <c r="G8" s="9"/>
      <c r="H8" s="9"/>
    </row>
    <row r="9" spans="2:8" ht="15.75">
      <c r="B9" s="1" t="s">
        <v>3</v>
      </c>
      <c r="D9" s="6">
        <v>5</v>
      </c>
      <c r="G9" s="9"/>
      <c r="H9" s="9"/>
    </row>
    <row r="10" spans="6:8" ht="6" customHeight="1">
      <c r="F10" s="9"/>
      <c r="G10" s="9"/>
      <c r="H10" s="9"/>
    </row>
    <row r="11" spans="2:8" ht="15.75">
      <c r="B11" s="1" t="s">
        <v>4</v>
      </c>
      <c r="D11" s="5">
        <f>D7/D9</f>
        <v>15</v>
      </c>
      <c r="F11" s="11" t="s">
        <v>0</v>
      </c>
      <c r="G11" s="9"/>
      <c r="H11" s="9"/>
    </row>
    <row r="12" spans="6:8" ht="6" customHeight="1">
      <c r="F12" s="9"/>
      <c r="G12" s="9"/>
      <c r="H12" s="9"/>
    </row>
    <row r="13" spans="2:8" ht="15.75">
      <c r="B13" s="1" t="s">
        <v>1</v>
      </c>
      <c r="D13" s="6">
        <v>150</v>
      </c>
      <c r="F13" s="10"/>
      <c r="G13" s="9"/>
      <c r="H13" s="9"/>
    </row>
    <row r="14" spans="6:8" ht="15.75">
      <c r="F14" s="9"/>
      <c r="G14" s="9"/>
      <c r="H14" s="9"/>
    </row>
    <row r="15" spans="1:8" ht="18">
      <c r="A15" s="3" t="s">
        <v>6</v>
      </c>
      <c r="F15" s="9"/>
      <c r="G15" s="9"/>
      <c r="H15" s="9"/>
    </row>
    <row r="16" spans="6:8" ht="6" customHeight="1">
      <c r="F16" s="9"/>
      <c r="G16" s="9"/>
      <c r="H16" s="9"/>
    </row>
    <row r="17" spans="2:8" ht="15.75">
      <c r="B17" s="1" t="s">
        <v>7</v>
      </c>
      <c r="D17" s="12">
        <v>8000</v>
      </c>
      <c r="F17" s="9" t="s">
        <v>9</v>
      </c>
      <c r="G17" s="9"/>
      <c r="H17" s="9"/>
    </row>
    <row r="18" spans="6:8" ht="6" customHeight="1">
      <c r="F18" s="9"/>
      <c r="G18" s="9"/>
      <c r="H18" s="9"/>
    </row>
    <row r="19" spans="2:8" ht="15.75">
      <c r="B19" s="1" t="s">
        <v>8</v>
      </c>
      <c r="D19" s="14">
        <v>1</v>
      </c>
      <c r="F19" s="9" t="s">
        <v>10</v>
      </c>
      <c r="G19" s="9"/>
      <c r="H19" s="9"/>
    </row>
    <row r="20" spans="6:8" ht="6" customHeight="1">
      <c r="F20" s="9"/>
      <c r="G20" s="9"/>
      <c r="H20" s="9"/>
    </row>
    <row r="21" spans="2:8" ht="15.75">
      <c r="B21" s="1" t="s">
        <v>11</v>
      </c>
      <c r="D21" s="15">
        <f>D17*D19*D7</f>
        <v>600000</v>
      </c>
      <c r="F21" s="9" t="s">
        <v>10</v>
      </c>
      <c r="G21" s="9"/>
      <c r="H21" s="9"/>
    </row>
    <row r="22" spans="6:8" ht="6" customHeight="1">
      <c r="F22" s="9"/>
      <c r="G22" s="9"/>
      <c r="H22" s="9"/>
    </row>
    <row r="23" spans="2:8" ht="15.75">
      <c r="B23" s="1" t="s">
        <v>12</v>
      </c>
      <c r="D23" s="17">
        <v>0.425</v>
      </c>
      <c r="F23" s="9" t="s">
        <v>13</v>
      </c>
      <c r="G23" s="9"/>
      <c r="H23" s="9"/>
    </row>
    <row r="24" spans="6:8" ht="6" customHeight="1">
      <c r="F24" s="9"/>
      <c r="G24" s="9"/>
      <c r="H24" s="9"/>
    </row>
    <row r="25" spans="2:8" ht="15.75">
      <c r="B25" s="1" t="s">
        <v>14</v>
      </c>
      <c r="D25" s="18">
        <f>D21*D23</f>
        <v>255000</v>
      </c>
      <c r="F25" s="9"/>
      <c r="G25" s="9"/>
      <c r="H25" s="9"/>
    </row>
    <row r="26" spans="6:8" ht="15.75">
      <c r="F26" s="9"/>
      <c r="G26" s="9"/>
      <c r="H26" s="9"/>
    </row>
    <row r="27" ht="18">
      <c r="A27" s="3" t="s">
        <v>129</v>
      </c>
    </row>
    <row r="28" ht="6" customHeight="1"/>
    <row r="29" spans="2:12" ht="15.75">
      <c r="B29" s="1" t="s">
        <v>20</v>
      </c>
      <c r="D29" s="18">
        <f>(J29/1000)*G29*$D$7</f>
        <v>52500</v>
      </c>
      <c r="G29" s="12">
        <v>1000</v>
      </c>
      <c r="I29" s="1" t="s">
        <v>15</v>
      </c>
      <c r="J29" s="19">
        <v>700</v>
      </c>
      <c r="L29" s="1" t="s">
        <v>16</v>
      </c>
    </row>
    <row r="30" ht="6" customHeight="1">
      <c r="D30" s="20"/>
    </row>
    <row r="31" spans="2:12" ht="15.75" customHeight="1">
      <c r="B31" s="1" t="s">
        <v>21</v>
      </c>
      <c r="D31" s="18">
        <f>(J31/1000)*G31*$D$7</f>
        <v>4500</v>
      </c>
      <c r="G31" s="12">
        <v>150</v>
      </c>
      <c r="I31" s="1" t="s">
        <v>15</v>
      </c>
      <c r="J31" s="19">
        <v>400</v>
      </c>
      <c r="L31" s="1" t="s">
        <v>16</v>
      </c>
    </row>
    <row r="32" ht="6" customHeight="1">
      <c r="D32" s="20"/>
    </row>
    <row r="33" spans="2:12" ht="15.75" customHeight="1">
      <c r="B33" s="1" t="s">
        <v>22</v>
      </c>
      <c r="D33" s="18">
        <f>(J33/1000)*G33*$D$7</f>
        <v>12000</v>
      </c>
      <c r="G33" s="12">
        <v>200</v>
      </c>
      <c r="I33" s="1" t="s">
        <v>15</v>
      </c>
      <c r="J33" s="19">
        <v>800</v>
      </c>
      <c r="L33" s="1" t="s">
        <v>16</v>
      </c>
    </row>
    <row r="34" ht="6" customHeight="1">
      <c r="D34" s="20"/>
    </row>
    <row r="35" spans="2:12" ht="15.75" customHeight="1">
      <c r="B35" s="1" t="s">
        <v>17</v>
      </c>
      <c r="D35" s="18">
        <f>G35*(D7/1000)*J35</f>
        <v>1800</v>
      </c>
      <c r="G35" s="12">
        <v>240</v>
      </c>
      <c r="I35" s="1" t="s">
        <v>15</v>
      </c>
      <c r="J35" s="19">
        <v>100</v>
      </c>
      <c r="L35" s="1" t="s">
        <v>16</v>
      </c>
    </row>
    <row r="36" ht="6" customHeight="1">
      <c r="D36" s="20"/>
    </row>
    <row r="37" spans="2:12" ht="15.75">
      <c r="B37" s="1" t="s">
        <v>5</v>
      </c>
      <c r="D37" s="18">
        <f>(G37*D7)*J37</f>
        <v>15000</v>
      </c>
      <c r="G37" s="12">
        <v>5</v>
      </c>
      <c r="I37" s="1" t="s">
        <v>23</v>
      </c>
      <c r="J37" s="19">
        <v>40</v>
      </c>
      <c r="L37" s="1" t="s">
        <v>24</v>
      </c>
    </row>
    <row r="38" ht="6" customHeight="1">
      <c r="D38" s="20"/>
    </row>
    <row r="39" spans="2:12" ht="15.75" customHeight="1">
      <c r="B39" s="1" t="s">
        <v>25</v>
      </c>
      <c r="D39" s="18">
        <f>G39*J39*D7</f>
        <v>10500</v>
      </c>
      <c r="G39" s="13">
        <v>2</v>
      </c>
      <c r="I39" s="1" t="s">
        <v>15</v>
      </c>
      <c r="J39" s="19">
        <v>70</v>
      </c>
      <c r="L39" s="1" t="s">
        <v>26</v>
      </c>
    </row>
    <row r="40" ht="6" customHeight="1">
      <c r="D40" s="20"/>
    </row>
    <row r="41" spans="2:9" ht="15.75">
      <c r="B41" s="1" t="s">
        <v>18</v>
      </c>
      <c r="D41" s="18">
        <f>SUM(D29:D39)</f>
        <v>96300</v>
      </c>
      <c r="G41" s="18">
        <f>D41/D7</f>
        <v>1284</v>
      </c>
      <c r="I41" s="1" t="s">
        <v>19</v>
      </c>
    </row>
    <row r="43" spans="1:9" ht="18">
      <c r="A43" s="3" t="s">
        <v>27</v>
      </c>
      <c r="D43" s="23">
        <f>D25-D41</f>
        <v>158700</v>
      </c>
      <c r="G43" s="23">
        <f>D43/D7</f>
        <v>2116</v>
      </c>
      <c r="I43" s="1" t="s">
        <v>19</v>
      </c>
    </row>
    <row r="46" ht="20.25">
      <c r="A46" s="22" t="s">
        <v>43</v>
      </c>
    </row>
    <row r="47" ht="15.75">
      <c r="A47" s="21" t="s">
        <v>28</v>
      </c>
    </row>
    <row r="48" spans="1:8" ht="18">
      <c r="A48" s="3" t="s">
        <v>128</v>
      </c>
      <c r="D48" s="7"/>
      <c r="F48" s="8"/>
      <c r="G48" s="9"/>
      <c r="H48" s="9"/>
    </row>
    <row r="49" spans="6:8" ht="6" customHeight="1">
      <c r="F49" s="9"/>
      <c r="G49" s="9"/>
      <c r="H49" s="9"/>
    </row>
    <row r="50" spans="2:8" ht="15.75">
      <c r="B50" s="1" t="s">
        <v>2</v>
      </c>
      <c r="D50" s="4">
        <v>75</v>
      </c>
      <c r="F50" s="11" t="s">
        <v>0</v>
      </c>
      <c r="G50" s="9"/>
      <c r="H50" s="9"/>
    </row>
    <row r="51" spans="6:8" ht="6" customHeight="1">
      <c r="F51" s="9"/>
      <c r="G51" s="9"/>
      <c r="H51" s="9"/>
    </row>
    <row r="52" spans="2:8" ht="15.75">
      <c r="B52" s="1" t="s">
        <v>3</v>
      </c>
      <c r="D52" s="6">
        <v>60</v>
      </c>
      <c r="G52" s="9"/>
      <c r="H52" s="9"/>
    </row>
    <row r="53" spans="6:8" ht="6" customHeight="1">
      <c r="F53" s="9"/>
      <c r="G53" s="9"/>
      <c r="H53" s="9"/>
    </row>
    <row r="54" spans="2:8" ht="15.75">
      <c r="B54" s="1" t="s">
        <v>4</v>
      </c>
      <c r="D54" s="5">
        <f>D50/D52</f>
        <v>1.25</v>
      </c>
      <c r="F54" s="11" t="s">
        <v>0</v>
      </c>
      <c r="G54" s="9"/>
      <c r="H54" s="9"/>
    </row>
    <row r="55" spans="6:8" ht="6" customHeight="1">
      <c r="F55" s="9"/>
      <c r="G55" s="9"/>
      <c r="H55" s="9"/>
    </row>
    <row r="56" spans="2:8" ht="15.75">
      <c r="B56" s="1" t="s">
        <v>1</v>
      </c>
      <c r="D56" s="6">
        <v>150</v>
      </c>
      <c r="F56" s="10"/>
      <c r="G56" s="9"/>
      <c r="H56" s="9"/>
    </row>
    <row r="57" spans="6:8" ht="15.75">
      <c r="F57" s="9"/>
      <c r="G57" s="9"/>
      <c r="H57" s="9"/>
    </row>
    <row r="58" spans="1:8" ht="18">
      <c r="A58" s="3" t="s">
        <v>6</v>
      </c>
      <c r="F58" s="9"/>
      <c r="G58" s="9"/>
      <c r="H58" s="9"/>
    </row>
    <row r="59" spans="6:8" ht="6" customHeight="1">
      <c r="F59" s="9"/>
      <c r="G59" s="9"/>
      <c r="H59" s="9"/>
    </row>
    <row r="60" spans="2:8" ht="15.75" customHeight="1">
      <c r="B60" s="1" t="s">
        <v>113</v>
      </c>
      <c r="D60" s="26">
        <v>0.2</v>
      </c>
      <c r="F60" s="9"/>
      <c r="G60" s="9"/>
      <c r="H60" s="9"/>
    </row>
    <row r="61" spans="6:8" ht="6" customHeight="1">
      <c r="F61" s="9"/>
      <c r="G61" s="9"/>
      <c r="H61" s="9"/>
    </row>
    <row r="62" spans="2:8" ht="15.75">
      <c r="B62" s="1" t="s">
        <v>7</v>
      </c>
      <c r="D62" s="15">
        <f>D17+(D17*D60)</f>
        <v>9600</v>
      </c>
      <c r="F62" s="9" t="s">
        <v>9</v>
      </c>
      <c r="G62" s="9"/>
      <c r="H62" s="9"/>
    </row>
    <row r="63" spans="6:8" ht="6" customHeight="1">
      <c r="F63" s="9"/>
      <c r="G63" s="9"/>
      <c r="H63" s="9"/>
    </row>
    <row r="64" spans="2:8" ht="15.75">
      <c r="B64" s="1" t="s">
        <v>8</v>
      </c>
      <c r="D64" s="14">
        <v>1</v>
      </c>
      <c r="F64" s="9" t="s">
        <v>10</v>
      </c>
      <c r="G64" s="9"/>
      <c r="H64" s="9"/>
    </row>
    <row r="65" spans="6:8" ht="6" customHeight="1">
      <c r="F65" s="9"/>
      <c r="G65" s="9"/>
      <c r="H65" s="9"/>
    </row>
    <row r="66" spans="2:8" ht="15.75">
      <c r="B66" s="1" t="s">
        <v>11</v>
      </c>
      <c r="D66" s="15">
        <f>D62*D64*D50</f>
        <v>720000</v>
      </c>
      <c r="F66" s="9" t="s">
        <v>10</v>
      </c>
      <c r="G66" s="9"/>
      <c r="H66" s="9"/>
    </row>
    <row r="67" spans="6:8" ht="6" customHeight="1">
      <c r="F67" s="9"/>
      <c r="G67" s="9"/>
      <c r="H67" s="9"/>
    </row>
    <row r="68" spans="2:8" ht="15.75">
      <c r="B68" s="1" t="s">
        <v>12</v>
      </c>
      <c r="D68" s="17">
        <v>0.425</v>
      </c>
      <c r="F68" s="9" t="s">
        <v>13</v>
      </c>
      <c r="G68" s="9"/>
      <c r="H68" s="9"/>
    </row>
    <row r="69" spans="6:8" ht="6" customHeight="1">
      <c r="F69" s="9"/>
      <c r="G69" s="9"/>
      <c r="H69" s="9"/>
    </row>
    <row r="70" spans="2:8" ht="15.75">
      <c r="B70" s="1" t="s">
        <v>14</v>
      </c>
      <c r="D70" s="18">
        <f>D66*D68</f>
        <v>306000</v>
      </c>
      <c r="F70" s="9"/>
      <c r="G70" s="9"/>
      <c r="H70" s="9"/>
    </row>
    <row r="71" spans="6:8" ht="15.75">
      <c r="F71" s="9"/>
      <c r="G71" s="9"/>
      <c r="H71" s="9"/>
    </row>
    <row r="72" ht="18">
      <c r="A72" s="3" t="s">
        <v>129</v>
      </c>
    </row>
    <row r="73" ht="6" customHeight="1"/>
    <row r="74" spans="2:12" ht="15.75">
      <c r="B74" s="1" t="s">
        <v>20</v>
      </c>
      <c r="D74" s="18">
        <f>(J74/1000)*G74*$D$7</f>
        <v>31500</v>
      </c>
      <c r="G74" s="12">
        <v>600</v>
      </c>
      <c r="I74" s="1" t="s">
        <v>15</v>
      </c>
      <c r="J74" s="19">
        <v>700</v>
      </c>
      <c r="L74" s="1" t="s">
        <v>16</v>
      </c>
    </row>
    <row r="75" ht="6" customHeight="1">
      <c r="D75" s="20"/>
    </row>
    <row r="76" spans="2:12" ht="15.75">
      <c r="B76" s="1" t="s">
        <v>21</v>
      </c>
      <c r="D76" s="18">
        <f>(J76/1000)*G76*$D$7</f>
        <v>6000</v>
      </c>
      <c r="G76" s="12">
        <v>200</v>
      </c>
      <c r="I76" s="1" t="s">
        <v>15</v>
      </c>
      <c r="J76" s="19">
        <v>400</v>
      </c>
      <c r="L76" s="1" t="s">
        <v>16</v>
      </c>
    </row>
    <row r="77" ht="6" customHeight="1">
      <c r="D77" s="20"/>
    </row>
    <row r="78" spans="2:12" ht="15.75">
      <c r="B78" s="1" t="s">
        <v>22</v>
      </c>
      <c r="D78" s="18">
        <f>(J78/1000)*G78*$D$7</f>
        <v>12000</v>
      </c>
      <c r="G78" s="12">
        <v>200</v>
      </c>
      <c r="I78" s="1" t="s">
        <v>15</v>
      </c>
      <c r="J78" s="19">
        <v>800</v>
      </c>
      <c r="L78" s="1" t="s">
        <v>16</v>
      </c>
    </row>
    <row r="79" ht="6" customHeight="1">
      <c r="D79" s="20"/>
    </row>
    <row r="80" spans="2:12" ht="15.75">
      <c r="B80" s="1" t="s">
        <v>17</v>
      </c>
      <c r="D80" s="18">
        <f>G80*(D50/1000)*J80</f>
        <v>2700</v>
      </c>
      <c r="G80" s="12">
        <v>360</v>
      </c>
      <c r="I80" s="1" t="s">
        <v>15</v>
      </c>
      <c r="J80" s="19">
        <v>100</v>
      </c>
      <c r="L80" s="1" t="s">
        <v>16</v>
      </c>
    </row>
    <row r="81" ht="6" customHeight="1">
      <c r="D81" s="20"/>
    </row>
    <row r="82" spans="2:12" ht="15.75">
      <c r="B82" s="1" t="s">
        <v>5</v>
      </c>
      <c r="D82" s="18">
        <f>(G82*D50)*J82</f>
        <v>15000</v>
      </c>
      <c r="G82" s="12">
        <v>5</v>
      </c>
      <c r="I82" s="1" t="s">
        <v>23</v>
      </c>
      <c r="J82" s="19">
        <v>40</v>
      </c>
      <c r="L82" s="1" t="s">
        <v>24</v>
      </c>
    </row>
    <row r="83" ht="6" customHeight="1">
      <c r="D83" s="20"/>
    </row>
    <row r="84" spans="2:12" ht="15.75">
      <c r="B84" s="1" t="s">
        <v>25</v>
      </c>
      <c r="D84" s="18">
        <f>G84*J84*D50</f>
        <v>10500</v>
      </c>
      <c r="G84" s="13">
        <v>2</v>
      </c>
      <c r="I84" s="1" t="s">
        <v>15</v>
      </c>
      <c r="J84" s="19">
        <v>70</v>
      </c>
      <c r="L84" s="1" t="s">
        <v>26</v>
      </c>
    </row>
    <row r="85" ht="6" customHeight="1">
      <c r="D85" s="20"/>
    </row>
    <row r="86" spans="2:9" ht="15.75">
      <c r="B86" s="1" t="s">
        <v>18</v>
      </c>
      <c r="D86" s="18">
        <f>SUM(D74:D84)</f>
        <v>77700</v>
      </c>
      <c r="G86" s="18">
        <f>D86/D50</f>
        <v>1036</v>
      </c>
      <c r="I86" s="1" t="s">
        <v>19</v>
      </c>
    </row>
    <row r="88" spans="1:4" ht="18">
      <c r="A88" s="3" t="s">
        <v>27</v>
      </c>
      <c r="D88" s="23">
        <f>D70-D86</f>
        <v>228300</v>
      </c>
    </row>
    <row r="90" spans="1:9" ht="18">
      <c r="A90" s="3" t="s">
        <v>29</v>
      </c>
      <c r="D90" s="23">
        <f>D88-D43</f>
        <v>69600</v>
      </c>
      <c r="G90" s="23">
        <f>D90/D50</f>
        <v>928</v>
      </c>
      <c r="I90" s="1" t="s">
        <v>19</v>
      </c>
    </row>
  </sheetData>
  <printOptions/>
  <pageMargins left="0.75" right="0.75" top="1" bottom="1" header="0.5" footer="0.5"/>
  <pageSetup fitToHeight="1" fitToWidth="1" horizontalDpi="300" verticalDpi="300" orientation="landscape" paperSize="8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zoomScale="75" zoomScaleNormal="75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46.8515625" style="1" customWidth="1"/>
    <col min="3" max="3" width="20.28125" style="1" customWidth="1"/>
    <col min="4" max="4" width="15.57421875" style="1" customWidth="1"/>
    <col min="5" max="5" width="13.140625" style="1" customWidth="1"/>
    <col min="6" max="6" width="15.57421875" style="1" customWidth="1"/>
    <col min="7" max="7" width="9.140625" style="30" customWidth="1"/>
    <col min="8" max="16384" width="9.140625" style="1" customWidth="1"/>
  </cols>
  <sheetData>
    <row r="1" ht="26.25">
      <c r="A1" s="2" t="s">
        <v>69</v>
      </c>
    </row>
    <row r="4" ht="18">
      <c r="A4" s="3" t="s">
        <v>130</v>
      </c>
    </row>
    <row r="6" spans="2:4" ht="15.75">
      <c r="B6" s="1" t="s">
        <v>45</v>
      </c>
      <c r="D6" s="12">
        <v>550</v>
      </c>
    </row>
    <row r="7" ht="6" customHeight="1"/>
    <row r="8" spans="2:4" ht="15.75">
      <c r="B8" s="1" t="s">
        <v>54</v>
      </c>
      <c r="D8" s="26">
        <v>0.51</v>
      </c>
    </row>
    <row r="9" ht="6" customHeight="1"/>
    <row r="10" spans="2:4" ht="15.75">
      <c r="B10" s="1" t="s">
        <v>55</v>
      </c>
      <c r="D10" s="15">
        <f>D6*D8</f>
        <v>280.5</v>
      </c>
    </row>
    <row r="12" ht="18">
      <c r="A12" s="3" t="s">
        <v>131</v>
      </c>
    </row>
    <row r="14" spans="2:4" ht="15.75">
      <c r="B14" s="1" t="s">
        <v>44</v>
      </c>
      <c r="D14" s="16">
        <v>500</v>
      </c>
    </row>
    <row r="15" ht="6" customHeight="1"/>
    <row r="16" spans="2:4" ht="15.75">
      <c r="B16" s="1" t="s">
        <v>46</v>
      </c>
      <c r="D16" s="25">
        <f>(D6/100)*D14</f>
        <v>2750</v>
      </c>
    </row>
    <row r="18" ht="18">
      <c r="A18" s="3" t="s">
        <v>132</v>
      </c>
    </row>
    <row r="20" spans="2:4" ht="15.75">
      <c r="B20" s="1" t="s">
        <v>48</v>
      </c>
      <c r="D20" s="26">
        <v>0.005</v>
      </c>
    </row>
    <row r="21" ht="6" customHeight="1"/>
    <row r="22" spans="2:4" ht="15.75">
      <c r="B22" s="1" t="s">
        <v>49</v>
      </c>
      <c r="D22" s="16">
        <v>800</v>
      </c>
    </row>
    <row r="23" ht="6" customHeight="1"/>
    <row r="24" spans="2:4" ht="15.75">
      <c r="B24" s="1" t="s">
        <v>50</v>
      </c>
      <c r="D24" s="25">
        <f>(D6*D20)*D22</f>
        <v>2200</v>
      </c>
    </row>
    <row r="26" ht="18">
      <c r="A26" s="3" t="s">
        <v>134</v>
      </c>
    </row>
    <row r="28" spans="2:7" ht="15.75">
      <c r="B28" s="28" t="s">
        <v>133</v>
      </c>
      <c r="C28" s="27"/>
      <c r="D28" s="26">
        <v>0.15</v>
      </c>
      <c r="E28" s="27"/>
      <c r="F28" s="29">
        <f>D28*D10</f>
        <v>42.074999999999996</v>
      </c>
      <c r="G28" s="28" t="s">
        <v>61</v>
      </c>
    </row>
    <row r="29" spans="2:7" ht="6" customHeight="1">
      <c r="B29" s="28"/>
      <c r="C29" s="27"/>
      <c r="D29" s="33"/>
      <c r="E29" s="27"/>
      <c r="F29" s="31"/>
      <c r="G29" s="28"/>
    </row>
    <row r="30" spans="2:7" ht="15.75">
      <c r="B30" s="28" t="s">
        <v>51</v>
      </c>
      <c r="C30" s="27"/>
      <c r="D30" s="27"/>
      <c r="E30" s="27"/>
      <c r="F30" s="16">
        <v>40</v>
      </c>
      <c r="G30" s="28" t="s">
        <v>62</v>
      </c>
    </row>
    <row r="31" spans="2:7" ht="6" customHeight="1">
      <c r="B31" s="28"/>
      <c r="C31" s="27"/>
      <c r="D31" s="27"/>
      <c r="E31" s="27"/>
      <c r="F31" s="32"/>
      <c r="G31" s="28"/>
    </row>
    <row r="32" spans="2:7" ht="15.75">
      <c r="B32" s="1" t="s">
        <v>56</v>
      </c>
      <c r="F32" s="18">
        <f>F28*F30</f>
        <v>1682.9999999999998</v>
      </c>
      <c r="G32" s="1"/>
    </row>
    <row r="33" ht="6" customHeight="1">
      <c r="G33" s="1"/>
    </row>
    <row r="34" spans="2:7" ht="15.75">
      <c r="B34" s="28" t="s">
        <v>52</v>
      </c>
      <c r="C34" s="27"/>
      <c r="D34" s="6">
        <v>7</v>
      </c>
      <c r="E34" s="27" t="s">
        <v>53</v>
      </c>
      <c r="F34" s="6">
        <v>24</v>
      </c>
      <c r="G34" s="28" t="s">
        <v>63</v>
      </c>
    </row>
    <row r="35" ht="6" customHeight="1"/>
    <row r="36" spans="2:6" ht="15.75">
      <c r="B36" s="1" t="s">
        <v>57</v>
      </c>
      <c r="F36" s="18">
        <f>(D34*F34*F28)*'3.Benefits - Pasture Management'!D68</f>
        <v>3004.1549999999997</v>
      </c>
    </row>
    <row r="38" spans="2:6" ht="15.75">
      <c r="B38" s="1" t="s">
        <v>58</v>
      </c>
      <c r="D38" s="26">
        <v>0.1</v>
      </c>
      <c r="F38" s="18">
        <f>((F32+F36)/F28)*(D38*D10)</f>
        <v>3124.7700000000004</v>
      </c>
    </row>
    <row r="40" ht="18">
      <c r="A40" s="3" t="s">
        <v>135</v>
      </c>
    </row>
    <row r="42" spans="2:5" ht="15.75">
      <c r="B42" s="1" t="s">
        <v>59</v>
      </c>
      <c r="D42" s="12">
        <v>30</v>
      </c>
      <c r="E42" s="1" t="s">
        <v>60</v>
      </c>
    </row>
    <row r="43" ht="6" customHeight="1">
      <c r="D43" s="1" t="s">
        <v>121</v>
      </c>
    </row>
    <row r="44" spans="2:5" ht="15.75">
      <c r="B44" s="1" t="s">
        <v>64</v>
      </c>
      <c r="D44" s="15">
        <f>(D42*365)/60</f>
        <v>182.5</v>
      </c>
      <c r="E44" s="1" t="s">
        <v>65</v>
      </c>
    </row>
    <row r="45" ht="6" customHeight="1"/>
    <row r="46" spans="2:5" ht="15.75">
      <c r="B46" s="1" t="s">
        <v>66</v>
      </c>
      <c r="D46" s="16">
        <v>15</v>
      </c>
      <c r="E46" s="1" t="s">
        <v>67</v>
      </c>
    </row>
    <row r="47" ht="6" customHeight="1"/>
    <row r="48" spans="2:4" ht="15.75">
      <c r="B48" s="1" t="s">
        <v>68</v>
      </c>
      <c r="D48" s="18">
        <f>D44*D46</f>
        <v>2737.5</v>
      </c>
    </row>
    <row r="50" ht="18">
      <c r="A50" s="3" t="s">
        <v>136</v>
      </c>
    </row>
    <row r="52" spans="2:5" ht="15.75">
      <c r="B52" s="1" t="s">
        <v>70</v>
      </c>
      <c r="D52" s="14">
        <v>0.5</v>
      </c>
      <c r="E52" s="1" t="s">
        <v>71</v>
      </c>
    </row>
    <row r="53" ht="6" customHeight="1"/>
    <row r="54" spans="2:4" ht="15.75">
      <c r="B54" s="1" t="s">
        <v>72</v>
      </c>
      <c r="D54" s="15">
        <f>(D10*D52)</f>
        <v>140.25</v>
      </c>
    </row>
    <row r="55" ht="6" customHeight="1"/>
    <row r="56" spans="2:4" ht="15.75">
      <c r="B56" s="1" t="s">
        <v>73</v>
      </c>
      <c r="D56" s="12">
        <v>300</v>
      </c>
    </row>
    <row r="57" ht="6" customHeight="1"/>
    <row r="58" spans="2:4" ht="15.75">
      <c r="B58" s="1" t="s">
        <v>74</v>
      </c>
      <c r="D58" s="18">
        <f>D54*D56*'3.Benefits - Pasture Management'!D23</f>
        <v>17881.875</v>
      </c>
    </row>
    <row r="60" ht="18">
      <c r="A60" s="3" t="s">
        <v>137</v>
      </c>
    </row>
    <row r="62" spans="2:4" ht="15.75">
      <c r="B62" s="1" t="s">
        <v>75</v>
      </c>
      <c r="D62" s="16">
        <v>11</v>
      </c>
    </row>
    <row r="63" ht="6" customHeight="1"/>
    <row r="64" spans="2:4" ht="15.75">
      <c r="B64" s="1" t="s">
        <v>35</v>
      </c>
      <c r="D64" s="18">
        <f>D62*D10</f>
        <v>3085.5</v>
      </c>
    </row>
    <row r="66" ht="18">
      <c r="A66" s="3" t="s">
        <v>138</v>
      </c>
    </row>
    <row r="68" spans="1:5" ht="15.75">
      <c r="A68" s="34"/>
      <c r="B68" s="1" t="s">
        <v>98</v>
      </c>
      <c r="D68" s="14">
        <v>5</v>
      </c>
      <c r="E68" s="1" t="s">
        <v>99</v>
      </c>
    </row>
    <row r="69" ht="6" customHeight="1"/>
    <row r="70" spans="2:5" ht="15.75">
      <c r="B70" s="1" t="s">
        <v>101</v>
      </c>
      <c r="D70" s="14">
        <v>1.2</v>
      </c>
      <c r="E70" s="1" t="s">
        <v>100</v>
      </c>
    </row>
    <row r="71" ht="6" customHeight="1"/>
    <row r="72" spans="2:5" ht="15.75">
      <c r="B72" s="1" t="s">
        <v>102</v>
      </c>
      <c r="D72" s="15">
        <f>D68*D70</f>
        <v>6</v>
      </c>
      <c r="E72" s="1" t="s">
        <v>103</v>
      </c>
    </row>
    <row r="73" ht="6" customHeight="1"/>
    <row r="74" spans="2:4" ht="15.75">
      <c r="B74" s="1" t="s">
        <v>104</v>
      </c>
      <c r="D74" s="19">
        <v>800</v>
      </c>
    </row>
    <row r="75" ht="6" customHeight="1"/>
    <row r="76" spans="2:5" ht="15.75">
      <c r="B76" s="1" t="s">
        <v>105</v>
      </c>
      <c r="D76" s="18">
        <f>D74*D70</f>
        <v>960</v>
      </c>
      <c r="E76" s="1" t="s">
        <v>106</v>
      </c>
    </row>
    <row r="77" ht="6" customHeight="1"/>
    <row r="78" spans="2:4" ht="15.75">
      <c r="B78" s="1" t="s">
        <v>35</v>
      </c>
      <c r="D78" s="18">
        <f>D76*D68</f>
        <v>4800</v>
      </c>
    </row>
  </sheetData>
  <printOptions/>
  <pageMargins left="0.75" right="0.75" top="1" bottom="1" header="0.5" footer="0.5"/>
  <pageSetup fitToHeight="1" fitToWidth="1" horizontalDpi="300" verticalDpi="300" orientation="landscape" paperSize="8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zoomScale="70" zoomScaleNormal="70" workbookViewId="0" topLeftCell="A1">
      <selection activeCell="B3" sqref="B3"/>
    </sheetView>
  </sheetViews>
  <sheetFormatPr defaultColWidth="9.140625" defaultRowHeight="12.75"/>
  <cols>
    <col min="1" max="1" width="30.00390625" style="36" customWidth="1"/>
    <col min="2" max="2" width="17.28125" style="36" customWidth="1"/>
    <col min="3" max="3" width="18.7109375" style="36" bestFit="1" customWidth="1"/>
    <col min="4" max="4" width="17.140625" style="36" customWidth="1"/>
    <col min="5" max="5" width="19.140625" style="36" bestFit="1" customWidth="1"/>
    <col min="6" max="6" width="18.140625" style="36" bestFit="1" customWidth="1"/>
    <col min="7" max="7" width="14.8515625" style="36" bestFit="1" customWidth="1"/>
    <col min="8" max="8" width="12.00390625" style="36" customWidth="1"/>
    <col min="9" max="9" width="16.28125" style="36" bestFit="1" customWidth="1"/>
    <col min="10" max="10" width="16.421875" style="36" bestFit="1" customWidth="1"/>
    <col min="11" max="11" width="12.7109375" style="36" customWidth="1"/>
    <col min="12" max="12" width="3.57421875" style="36" customWidth="1"/>
    <col min="13" max="13" width="21.140625" style="36" customWidth="1"/>
    <col min="14" max="14" width="26.00390625" style="36" customWidth="1"/>
    <col min="15" max="15" width="26.7109375" style="36" customWidth="1"/>
    <col min="16" max="16384" width="9.140625" style="37" customWidth="1"/>
  </cols>
  <sheetData>
    <row r="1" ht="26.25">
      <c r="A1" s="35" t="s">
        <v>76</v>
      </c>
    </row>
    <row r="2" ht="12.75" customHeight="1" thickBot="1"/>
    <row r="3" spans="1:2" ht="16.5" customHeight="1" thickBot="1">
      <c r="A3" s="38" t="s">
        <v>77</v>
      </c>
      <c r="B3" s="39">
        <v>0.06</v>
      </c>
    </row>
    <row r="4" spans="1:2" ht="16.5" customHeight="1" thickBot="1">
      <c r="A4" s="38"/>
      <c r="B4" s="53"/>
    </row>
    <row r="5" spans="1:11" ht="16.5" customHeight="1" thickBot="1">
      <c r="A5" s="38"/>
      <c r="B5" s="73" t="s">
        <v>96</v>
      </c>
      <c r="C5" s="74"/>
      <c r="D5" s="74"/>
      <c r="E5" s="74"/>
      <c r="F5" s="74"/>
      <c r="G5" s="75"/>
      <c r="H5" s="76" t="s">
        <v>97</v>
      </c>
      <c r="I5" s="77"/>
      <c r="J5" s="78"/>
      <c r="K5" s="79"/>
    </row>
    <row r="6" spans="1:15" ht="16.5" customHeight="1" thickBot="1">
      <c r="A6" s="40" t="s">
        <v>78</v>
      </c>
      <c r="B6" s="40" t="s">
        <v>89</v>
      </c>
      <c r="C6" s="40" t="s">
        <v>90</v>
      </c>
      <c r="D6" s="40" t="s">
        <v>91</v>
      </c>
      <c r="E6" s="40" t="s">
        <v>92</v>
      </c>
      <c r="F6" s="40" t="s">
        <v>93</v>
      </c>
      <c r="G6" s="40" t="s">
        <v>94</v>
      </c>
      <c r="H6" s="40" t="s">
        <v>95</v>
      </c>
      <c r="I6" s="40" t="s">
        <v>107</v>
      </c>
      <c r="J6" s="40" t="s">
        <v>112</v>
      </c>
      <c r="K6" s="41" t="s">
        <v>80</v>
      </c>
      <c r="L6" s="42"/>
      <c r="M6" s="41" t="s">
        <v>81</v>
      </c>
      <c r="N6" s="40" t="s">
        <v>76</v>
      </c>
      <c r="O6" s="40" t="s">
        <v>82</v>
      </c>
    </row>
    <row r="7" spans="1:15" ht="16.5" customHeight="1">
      <c r="A7" s="43">
        <v>0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9">
        <v>0</v>
      </c>
      <c r="J7" s="59">
        <v>0</v>
      </c>
      <c r="K7" s="60">
        <f>'1.Capital Investment'!C40</f>
        <v>82540</v>
      </c>
      <c r="M7" s="44">
        <f>SUM(B7:G7)-SUM(H7:K7)</f>
        <v>-82540</v>
      </c>
      <c r="N7" s="55">
        <f>M7</f>
        <v>-82540</v>
      </c>
      <c r="O7" s="54">
        <f>N7</f>
        <v>-82540</v>
      </c>
    </row>
    <row r="8" spans="1:15" ht="16.5" customHeight="1">
      <c r="A8" s="43">
        <v>1</v>
      </c>
      <c r="B8" s="58">
        <f>'3.Benefits - Pasture Management'!$D$90</f>
        <v>69600</v>
      </c>
      <c r="C8" s="58">
        <f>'4.Additional Benefits &amp; Costs'!$D$16</f>
        <v>2750</v>
      </c>
      <c r="D8" s="58">
        <f>'4.Additional Benefits &amp; Costs'!$D$24</f>
        <v>2200</v>
      </c>
      <c r="E8" s="58">
        <f>'4.Additional Benefits &amp; Costs'!$F$38</f>
        <v>3124.7700000000004</v>
      </c>
      <c r="F8" s="58">
        <f>'4.Additional Benefits &amp; Costs'!$D$48</f>
        <v>2737.5</v>
      </c>
      <c r="G8" s="58">
        <f>'4.Additional Benefits &amp; Costs'!$D$58</f>
        <v>17881.875</v>
      </c>
      <c r="H8" s="58">
        <f>'4.Additional Benefits &amp; Costs'!$D$64</f>
        <v>3085.5</v>
      </c>
      <c r="I8" s="59">
        <f>'4.Additional Benefits &amp; Costs'!$D$78</f>
        <v>4800</v>
      </c>
      <c r="J8" s="59">
        <f>'2.Annual Expenses'!$C$6+'2.Annual Expenses'!$H$8</f>
        <v>1700</v>
      </c>
      <c r="K8" s="58">
        <v>0</v>
      </c>
      <c r="M8" s="45">
        <f aca="true" t="shared" si="0" ref="M8:M17">SUM(B8:G8)-SUM(H8:K8)</f>
        <v>88708.645</v>
      </c>
      <c r="N8" s="56">
        <f aca="true" t="shared" si="1" ref="N8:N17">-(PV($B$3,A8,0,M8))</f>
        <v>83687.40094339622</v>
      </c>
      <c r="O8" s="46">
        <f aca="true" t="shared" si="2" ref="O8:O17">O7+N8</f>
        <v>1147.40094339622</v>
      </c>
    </row>
    <row r="9" spans="1:15" ht="16.5" customHeight="1">
      <c r="A9" s="43">
        <v>2</v>
      </c>
      <c r="B9" s="58">
        <f>'3.Benefits - Pasture Management'!$D$90</f>
        <v>69600</v>
      </c>
      <c r="C9" s="58">
        <f>'4.Additional Benefits &amp; Costs'!$D$16</f>
        <v>2750</v>
      </c>
      <c r="D9" s="58">
        <f>'4.Additional Benefits &amp; Costs'!$D$24</f>
        <v>2200</v>
      </c>
      <c r="E9" s="58">
        <f>'4.Additional Benefits &amp; Costs'!$F$38</f>
        <v>3124.7700000000004</v>
      </c>
      <c r="F9" s="58">
        <f>'4.Additional Benefits &amp; Costs'!$D$48</f>
        <v>2737.5</v>
      </c>
      <c r="G9" s="58">
        <f>'4.Additional Benefits &amp; Costs'!$D$58</f>
        <v>17881.875</v>
      </c>
      <c r="H9" s="58">
        <f>'4.Additional Benefits &amp; Costs'!$D$64</f>
        <v>3085.5</v>
      </c>
      <c r="I9" s="59">
        <f>'4.Additional Benefits &amp; Costs'!$D$78</f>
        <v>4800</v>
      </c>
      <c r="J9" s="59">
        <f>'2.Annual Expenses'!$C$6+'2.Annual Expenses'!$H$8</f>
        <v>1700</v>
      </c>
      <c r="K9" s="58">
        <v>0</v>
      </c>
      <c r="M9" s="45">
        <f t="shared" si="0"/>
        <v>88708.645</v>
      </c>
      <c r="N9" s="56">
        <f t="shared" si="1"/>
        <v>78950.378248487</v>
      </c>
      <c r="O9" s="46">
        <f t="shared" si="2"/>
        <v>80097.77919188322</v>
      </c>
    </row>
    <row r="10" spans="1:15" ht="16.5" customHeight="1">
      <c r="A10" s="43">
        <v>3</v>
      </c>
      <c r="B10" s="58">
        <f>'3.Benefits - Pasture Management'!$D$90</f>
        <v>69600</v>
      </c>
      <c r="C10" s="58">
        <f>'4.Additional Benefits &amp; Costs'!$D$16</f>
        <v>2750</v>
      </c>
      <c r="D10" s="58">
        <f>'4.Additional Benefits &amp; Costs'!$D$24</f>
        <v>2200</v>
      </c>
      <c r="E10" s="58">
        <f>'4.Additional Benefits &amp; Costs'!$F$38</f>
        <v>3124.7700000000004</v>
      </c>
      <c r="F10" s="58">
        <f>'4.Additional Benefits &amp; Costs'!$D$48</f>
        <v>2737.5</v>
      </c>
      <c r="G10" s="58">
        <f>'4.Additional Benefits &amp; Costs'!$D$58</f>
        <v>17881.875</v>
      </c>
      <c r="H10" s="58">
        <f>'4.Additional Benefits &amp; Costs'!$D$64</f>
        <v>3085.5</v>
      </c>
      <c r="I10" s="59">
        <f>'4.Additional Benefits &amp; Costs'!$D$78</f>
        <v>4800</v>
      </c>
      <c r="J10" s="59">
        <f>'2.Annual Expenses'!$C$6+'2.Annual Expenses'!$H$8</f>
        <v>1700</v>
      </c>
      <c r="K10" s="58">
        <v>0</v>
      </c>
      <c r="M10" s="45">
        <f t="shared" si="0"/>
        <v>88708.645</v>
      </c>
      <c r="N10" s="56">
        <f t="shared" si="1"/>
        <v>74481.48891366697</v>
      </c>
      <c r="O10" s="46">
        <f t="shared" si="2"/>
        <v>154579.2681055502</v>
      </c>
    </row>
    <row r="11" spans="1:15" ht="16.5" customHeight="1">
      <c r="A11" s="43">
        <v>4</v>
      </c>
      <c r="B11" s="58">
        <f>'3.Benefits - Pasture Management'!$D$90</f>
        <v>69600</v>
      </c>
      <c r="C11" s="58">
        <f>'4.Additional Benefits &amp; Costs'!$D$16</f>
        <v>2750</v>
      </c>
      <c r="D11" s="58">
        <f>'4.Additional Benefits &amp; Costs'!$D$24</f>
        <v>2200</v>
      </c>
      <c r="E11" s="58">
        <f>'4.Additional Benefits &amp; Costs'!$F$38</f>
        <v>3124.7700000000004</v>
      </c>
      <c r="F11" s="58">
        <f>'4.Additional Benefits &amp; Costs'!$D$48</f>
        <v>2737.5</v>
      </c>
      <c r="G11" s="58">
        <f>'4.Additional Benefits &amp; Costs'!$D$58</f>
        <v>17881.875</v>
      </c>
      <c r="H11" s="58">
        <f>'4.Additional Benefits &amp; Costs'!$D$64</f>
        <v>3085.5</v>
      </c>
      <c r="I11" s="59">
        <f>'4.Additional Benefits &amp; Costs'!$D$78</f>
        <v>4800</v>
      </c>
      <c r="J11" s="59">
        <f>'2.Annual Expenses'!$C$6+'2.Annual Expenses'!$H$8</f>
        <v>1700</v>
      </c>
      <c r="K11" s="58">
        <v>0</v>
      </c>
      <c r="M11" s="45">
        <f t="shared" si="0"/>
        <v>88708.645</v>
      </c>
      <c r="N11" s="56">
        <f t="shared" si="1"/>
        <v>70265.5555789311</v>
      </c>
      <c r="O11" s="46">
        <f t="shared" si="2"/>
        <v>224844.82368448132</v>
      </c>
    </row>
    <row r="12" spans="1:15" ht="16.5" customHeight="1">
      <c r="A12" s="43">
        <v>5</v>
      </c>
      <c r="B12" s="58">
        <f>'3.Benefits - Pasture Management'!$D$90</f>
        <v>69600</v>
      </c>
      <c r="C12" s="58">
        <f>'4.Additional Benefits &amp; Costs'!$D$16</f>
        <v>2750</v>
      </c>
      <c r="D12" s="58">
        <f>'4.Additional Benefits &amp; Costs'!$D$24</f>
        <v>2200</v>
      </c>
      <c r="E12" s="58">
        <f>'4.Additional Benefits &amp; Costs'!$F$38</f>
        <v>3124.7700000000004</v>
      </c>
      <c r="F12" s="58">
        <f>'4.Additional Benefits &amp; Costs'!$D$48</f>
        <v>2737.5</v>
      </c>
      <c r="G12" s="58">
        <f>'4.Additional Benefits &amp; Costs'!$D$58</f>
        <v>17881.875</v>
      </c>
      <c r="H12" s="58">
        <f>'4.Additional Benefits &amp; Costs'!$D$64</f>
        <v>3085.5</v>
      </c>
      <c r="I12" s="59">
        <f>'4.Additional Benefits &amp; Costs'!$D$78</f>
        <v>4800</v>
      </c>
      <c r="J12" s="59">
        <f>'2.Annual Expenses'!$C$6+'2.Annual Expenses'!$H$8</f>
        <v>1700</v>
      </c>
      <c r="K12" s="58">
        <v>0</v>
      </c>
      <c r="M12" s="45">
        <f t="shared" si="0"/>
        <v>88708.645</v>
      </c>
      <c r="N12" s="56">
        <f t="shared" si="1"/>
        <v>66288.25998012368</v>
      </c>
      <c r="O12" s="46">
        <f t="shared" si="2"/>
        <v>291133.083664605</v>
      </c>
    </row>
    <row r="13" spans="1:15" ht="16.5" customHeight="1">
      <c r="A13" s="43">
        <v>6</v>
      </c>
      <c r="B13" s="58">
        <f>'3.Benefits - Pasture Management'!$D$90</f>
        <v>69600</v>
      </c>
      <c r="C13" s="58">
        <f>'4.Additional Benefits &amp; Costs'!$D$16</f>
        <v>2750</v>
      </c>
      <c r="D13" s="58">
        <f>'4.Additional Benefits &amp; Costs'!$D$24</f>
        <v>2200</v>
      </c>
      <c r="E13" s="58">
        <f>'4.Additional Benefits &amp; Costs'!$F$38</f>
        <v>3124.7700000000004</v>
      </c>
      <c r="F13" s="58">
        <f>'4.Additional Benefits &amp; Costs'!$D$48</f>
        <v>2737.5</v>
      </c>
      <c r="G13" s="58">
        <f>'4.Additional Benefits &amp; Costs'!$D$58</f>
        <v>17881.875</v>
      </c>
      <c r="H13" s="58">
        <f>'4.Additional Benefits &amp; Costs'!$D$64</f>
        <v>3085.5</v>
      </c>
      <c r="I13" s="59">
        <f>'4.Additional Benefits &amp; Costs'!$D$78</f>
        <v>4800</v>
      </c>
      <c r="J13" s="59">
        <f>'2.Annual Expenses'!$C$6+'2.Annual Expenses'!$H$8</f>
        <v>1700</v>
      </c>
      <c r="K13" s="58">
        <v>0</v>
      </c>
      <c r="M13" s="45">
        <f t="shared" si="0"/>
        <v>88708.645</v>
      </c>
      <c r="N13" s="56">
        <f t="shared" si="1"/>
        <v>62536.09432087139</v>
      </c>
      <c r="O13" s="46">
        <f t="shared" si="2"/>
        <v>353669.1779854764</v>
      </c>
    </row>
    <row r="14" spans="1:15" ht="16.5" customHeight="1">
      <c r="A14" s="43">
        <v>7</v>
      </c>
      <c r="B14" s="58">
        <f>'3.Benefits - Pasture Management'!$D$90</f>
        <v>69600</v>
      </c>
      <c r="C14" s="58">
        <f>'4.Additional Benefits &amp; Costs'!$D$16</f>
        <v>2750</v>
      </c>
      <c r="D14" s="58">
        <f>'4.Additional Benefits &amp; Costs'!$D$24</f>
        <v>2200</v>
      </c>
      <c r="E14" s="58">
        <f>'4.Additional Benefits &amp; Costs'!$F$38</f>
        <v>3124.7700000000004</v>
      </c>
      <c r="F14" s="58">
        <f>'4.Additional Benefits &amp; Costs'!$D$48</f>
        <v>2737.5</v>
      </c>
      <c r="G14" s="58">
        <f>'4.Additional Benefits &amp; Costs'!$D$58</f>
        <v>17881.875</v>
      </c>
      <c r="H14" s="58">
        <f>'4.Additional Benefits &amp; Costs'!$D$64</f>
        <v>3085.5</v>
      </c>
      <c r="I14" s="59">
        <f>'4.Additional Benefits &amp; Costs'!$D$78</f>
        <v>4800</v>
      </c>
      <c r="J14" s="59">
        <f>'2.Annual Expenses'!$C$6+'2.Annual Expenses'!$H$8</f>
        <v>1700</v>
      </c>
      <c r="K14" s="58">
        <v>0</v>
      </c>
      <c r="M14" s="45">
        <f t="shared" si="0"/>
        <v>88708.645</v>
      </c>
      <c r="N14" s="56">
        <f t="shared" si="1"/>
        <v>58996.31539704847</v>
      </c>
      <c r="O14" s="46">
        <f t="shared" si="2"/>
        <v>412665.4933825249</v>
      </c>
    </row>
    <row r="15" spans="1:15" ht="16.5" customHeight="1">
      <c r="A15" s="43">
        <v>8</v>
      </c>
      <c r="B15" s="58">
        <f>'3.Benefits - Pasture Management'!$D$90</f>
        <v>69600</v>
      </c>
      <c r="C15" s="58">
        <f>'4.Additional Benefits &amp; Costs'!$D$16</f>
        <v>2750</v>
      </c>
      <c r="D15" s="58">
        <f>'4.Additional Benefits &amp; Costs'!$D$24</f>
        <v>2200</v>
      </c>
      <c r="E15" s="58">
        <f>'4.Additional Benefits &amp; Costs'!$F$38</f>
        <v>3124.7700000000004</v>
      </c>
      <c r="F15" s="58">
        <f>'4.Additional Benefits &amp; Costs'!$D$48</f>
        <v>2737.5</v>
      </c>
      <c r="G15" s="58">
        <f>'4.Additional Benefits &amp; Costs'!$D$58</f>
        <v>17881.875</v>
      </c>
      <c r="H15" s="58">
        <f>'4.Additional Benefits &amp; Costs'!$D$64</f>
        <v>3085.5</v>
      </c>
      <c r="I15" s="59">
        <f>'4.Additional Benefits &amp; Costs'!$D$78</f>
        <v>4800</v>
      </c>
      <c r="J15" s="59">
        <f>'2.Annual Expenses'!$C$6+'2.Annual Expenses'!$H$8</f>
        <v>1700</v>
      </c>
      <c r="K15" s="58">
        <v>0</v>
      </c>
      <c r="M15" s="45">
        <f t="shared" si="0"/>
        <v>88708.645</v>
      </c>
      <c r="N15" s="56">
        <f t="shared" si="1"/>
        <v>55656.90131797026</v>
      </c>
      <c r="O15" s="46">
        <f t="shared" si="2"/>
        <v>468322.3947004951</v>
      </c>
    </row>
    <row r="16" spans="1:15" ht="16.5" customHeight="1">
      <c r="A16" s="43">
        <v>9</v>
      </c>
      <c r="B16" s="58">
        <f>'3.Benefits - Pasture Management'!$D$90</f>
        <v>69600</v>
      </c>
      <c r="C16" s="58">
        <f>'4.Additional Benefits &amp; Costs'!$D$16</f>
        <v>2750</v>
      </c>
      <c r="D16" s="58">
        <f>'4.Additional Benefits &amp; Costs'!$D$24</f>
        <v>2200</v>
      </c>
      <c r="E16" s="58">
        <f>'4.Additional Benefits &amp; Costs'!$F$38</f>
        <v>3124.7700000000004</v>
      </c>
      <c r="F16" s="58">
        <f>'4.Additional Benefits &amp; Costs'!$D$48</f>
        <v>2737.5</v>
      </c>
      <c r="G16" s="58">
        <f>'4.Additional Benefits &amp; Costs'!$D$58</f>
        <v>17881.875</v>
      </c>
      <c r="H16" s="58">
        <f>'4.Additional Benefits &amp; Costs'!$D$64</f>
        <v>3085.5</v>
      </c>
      <c r="I16" s="59">
        <f>'4.Additional Benefits &amp; Costs'!$D$78</f>
        <v>4800</v>
      </c>
      <c r="J16" s="59">
        <f>'2.Annual Expenses'!$C$6+'2.Annual Expenses'!$H$8</f>
        <v>1700</v>
      </c>
      <c r="K16" s="58">
        <v>0</v>
      </c>
      <c r="M16" s="45">
        <f t="shared" si="0"/>
        <v>88708.645</v>
      </c>
      <c r="N16" s="56">
        <f t="shared" si="1"/>
        <v>52506.510677330436</v>
      </c>
      <c r="O16" s="46">
        <f t="shared" si="2"/>
        <v>520828.90537782555</v>
      </c>
    </row>
    <row r="17" spans="1:15" ht="16.5" customHeight="1" thickBot="1">
      <c r="A17" s="43">
        <v>10</v>
      </c>
      <c r="B17" s="58">
        <f>'3.Benefits - Pasture Management'!$D$90</f>
        <v>69600</v>
      </c>
      <c r="C17" s="58">
        <f>'4.Additional Benefits &amp; Costs'!$D$16</f>
        <v>2750</v>
      </c>
      <c r="D17" s="58">
        <f>'4.Additional Benefits &amp; Costs'!$D$24</f>
        <v>2200</v>
      </c>
      <c r="E17" s="58">
        <f>'4.Additional Benefits &amp; Costs'!$F$38</f>
        <v>3124.7700000000004</v>
      </c>
      <c r="F17" s="58">
        <f>'4.Additional Benefits &amp; Costs'!$D$48</f>
        <v>2737.5</v>
      </c>
      <c r="G17" s="58">
        <f>'4.Additional Benefits &amp; Costs'!$D$58</f>
        <v>17881.875</v>
      </c>
      <c r="H17" s="58">
        <f>'4.Additional Benefits &amp; Costs'!$D$64</f>
        <v>3085.5</v>
      </c>
      <c r="I17" s="59">
        <f>'4.Additional Benefits &amp; Costs'!$D$78</f>
        <v>4800</v>
      </c>
      <c r="J17" s="59">
        <f>'2.Annual Expenses'!$C$6+'2.Annual Expenses'!$H$8</f>
        <v>1700</v>
      </c>
      <c r="K17" s="61">
        <v>0</v>
      </c>
      <c r="M17" s="47">
        <f t="shared" si="0"/>
        <v>88708.645</v>
      </c>
      <c r="N17" s="57">
        <f t="shared" si="1"/>
        <v>49534.44403521739</v>
      </c>
      <c r="O17" s="48">
        <f t="shared" si="2"/>
        <v>570363.3494130429</v>
      </c>
    </row>
    <row r="18" spans="1:13" ht="16.5" customHeight="1" thickBot="1">
      <c r="A18" s="40" t="s">
        <v>83</v>
      </c>
      <c r="B18" s="80">
        <f aca="true" t="shared" si="3" ref="B18:J18">NPV($B$3,B8:B17)</f>
        <v>512262.05877846276</v>
      </c>
      <c r="C18" s="80">
        <f t="shared" si="3"/>
        <v>20240.239391390416</v>
      </c>
      <c r="D18" s="80">
        <f t="shared" si="3"/>
        <v>16192.19151311233</v>
      </c>
      <c r="E18" s="80">
        <f t="shared" si="3"/>
        <v>22998.579215649097</v>
      </c>
      <c r="F18" s="80">
        <f t="shared" si="3"/>
        <v>20148.238303247726</v>
      </c>
      <c r="G18" s="80">
        <f t="shared" si="3"/>
        <v>131612.15664251614</v>
      </c>
      <c r="H18" s="80">
        <f t="shared" si="3"/>
        <v>22709.54859714004</v>
      </c>
      <c r="I18" s="80">
        <f t="shared" si="3"/>
        <v>35328.417846790544</v>
      </c>
      <c r="J18" s="80">
        <f t="shared" si="3"/>
        <v>12512.147987404984</v>
      </c>
      <c r="K18" s="81">
        <f>NPV($B$3,K8:K17)+K7</f>
        <v>82540</v>
      </c>
      <c r="L18" s="42"/>
      <c r="M18" s="62">
        <f>(NPV($B$3,M8:M17))+M7</f>
        <v>570363.3494130429</v>
      </c>
    </row>
    <row r="19" spans="1:13" ht="16.5" customHeight="1" thickBot="1">
      <c r="A19" s="40" t="s">
        <v>84</v>
      </c>
      <c r="B19" s="80">
        <f>-(PMT($B$3,10,B18))</f>
        <v>69599.99999999993</v>
      </c>
      <c r="C19" s="80">
        <f>-(PMT($B$3,10,C18))</f>
        <v>2749.999999999998</v>
      </c>
      <c r="D19" s="80">
        <f aca="true" t="shared" si="4" ref="D19:K19">-(PMT($B$3,10,D18))</f>
        <v>2199.999999999998</v>
      </c>
      <c r="E19" s="80">
        <f t="shared" si="4"/>
        <v>3124.7699999999973</v>
      </c>
      <c r="F19" s="80">
        <f t="shared" si="4"/>
        <v>2737.499999999997</v>
      </c>
      <c r="G19" s="80">
        <f t="shared" si="4"/>
        <v>17881.87499999998</v>
      </c>
      <c r="H19" s="80">
        <f t="shared" si="4"/>
        <v>3085.499999999997</v>
      </c>
      <c r="I19" s="80">
        <f t="shared" si="4"/>
        <v>4799.999999999996</v>
      </c>
      <c r="J19" s="80">
        <f t="shared" si="4"/>
        <v>1699.9999999999989</v>
      </c>
      <c r="K19" s="82">
        <f t="shared" si="4"/>
        <v>11214.541271510472</v>
      </c>
      <c r="M19" s="63">
        <f>-(PMT($B$3,10,M18))</f>
        <v>77494.10372848944</v>
      </c>
    </row>
    <row r="20" spans="1:2" ht="16.5" customHeight="1" thickBot="1">
      <c r="A20" s="49" t="s">
        <v>85</v>
      </c>
      <c r="B20" s="37"/>
    </row>
    <row r="21" spans="1:5" ht="16.5" customHeight="1">
      <c r="A21" s="64" t="s">
        <v>86</v>
      </c>
      <c r="B21" s="65"/>
      <c r="C21" s="66">
        <f>SUM(B18:G18)-SUM(H18:K18)</f>
        <v>570363.3494130428</v>
      </c>
      <c r="D21" s="50"/>
      <c r="E21" s="50"/>
    </row>
    <row r="22" spans="1:5" ht="16.5" customHeight="1">
      <c r="A22" s="67" t="s">
        <v>87</v>
      </c>
      <c r="B22" s="68"/>
      <c r="C22" s="69">
        <f>M19</f>
        <v>77494.10372848944</v>
      </c>
      <c r="D22" s="51"/>
      <c r="E22" s="51"/>
    </row>
    <row r="23" spans="1:5" ht="16.5" customHeight="1" thickBot="1">
      <c r="A23" s="70" t="s">
        <v>88</v>
      </c>
      <c r="B23" s="71"/>
      <c r="C23" s="72">
        <f>IRR(M7:M17,0.05)</f>
        <v>1.0740054213896228</v>
      </c>
      <c r="D23" s="52"/>
      <c r="E23" s="52"/>
    </row>
    <row r="24" ht="10.5" customHeight="1"/>
  </sheetData>
  <printOptions/>
  <pageMargins left="0.75" right="0.75" top="1" bottom="1" header="0.5" footer="0.5"/>
  <pageSetup fitToHeight="1" fitToWidth="1" horizontalDpi="300" verticalDpi="3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Primary Industries &amp; Fisheries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Managing riparian areas on dairy farms </dc:title>
  <dc:subject>Economic assessment &amp; decision support</dc:subject>
  <dc:creator>Bill Johnston &amp;  Ian Layden</dc:creator>
  <cp:keywords/>
  <dc:description/>
  <cp:lastModifiedBy>Martin Jericho</cp:lastModifiedBy>
  <cp:lastPrinted>2008-06-30T06:07:36Z</cp:lastPrinted>
  <dcterms:created xsi:type="dcterms:W3CDTF">2007-08-13T21:32:16Z</dcterms:created>
  <dcterms:modified xsi:type="dcterms:W3CDTF">2008-10-27T06:10:32Z</dcterms:modified>
  <cp:category/>
  <cp:version/>
  <cp:contentType/>
  <cp:contentStatus/>
</cp:coreProperties>
</file>